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ason\Documents\"/>
    </mc:Choice>
  </mc:AlternateContent>
  <xr:revisionPtr revIDLastSave="0" documentId="8_{3A7A98CB-DAB5-4ECD-AB15-7A06EB5195F2}" xr6:coauthVersionLast="47" xr6:coauthVersionMax="47" xr10:uidLastSave="{00000000-0000-0000-0000-000000000000}"/>
  <bookViews>
    <workbookView xWindow="-120" yWindow="-120" windowWidth="29040" windowHeight="15720" xr2:uid="{14F0B5BE-82BA-468D-A149-604C79C4535F}"/>
  </bookViews>
  <sheets>
    <sheet name="Instructions" sheetId="6" r:id="rId1"/>
    <sheet name="Land, Stock &amp; Slurry" sheetId="1" r:id="rId2"/>
    <sheet name="Livestock In and Out" sheetId="3" r:id="rId3"/>
    <sheet name="Feed and other produce" sheetId="4" r:id="rId4"/>
    <sheet name="Fertiliser" sheetId="5" r:id="rId5"/>
    <sheet name="Summary Sheet" sheetId="2" r:id="rId6"/>
    <sheet name="DATA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" i="7" l="1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1" i="7"/>
  <c r="J24" i="4" l="1"/>
  <c r="J25" i="4"/>
  <c r="D34" i="4"/>
  <c r="D35" i="4"/>
  <c r="D33" i="4"/>
  <c r="D32" i="4"/>
  <c r="K72" i="1"/>
  <c r="K71" i="1"/>
  <c r="J71" i="1"/>
  <c r="J72" i="1"/>
  <c r="I71" i="1"/>
  <c r="I72" i="1"/>
  <c r="G71" i="1"/>
  <c r="G72" i="1"/>
  <c r="F71" i="1"/>
  <c r="F72" i="1"/>
  <c r="I48" i="1"/>
  <c r="B13" i="2"/>
  <c r="AP2" i="7" s="1"/>
  <c r="E7" i="1" l="1"/>
  <c r="F48" i="1"/>
  <c r="J50" i="1"/>
  <c r="J51" i="1"/>
  <c r="I50" i="1"/>
  <c r="I51" i="1"/>
  <c r="G50" i="1"/>
  <c r="G51" i="1"/>
  <c r="F50" i="1"/>
  <c r="F51" i="1"/>
  <c r="J62" i="1"/>
  <c r="I62" i="1"/>
  <c r="F62" i="1"/>
  <c r="G62" i="1"/>
  <c r="I61" i="1"/>
  <c r="J61" i="1"/>
  <c r="F61" i="1"/>
  <c r="G61" i="1"/>
  <c r="B22" i="1"/>
  <c r="H17" i="1"/>
  <c r="F17" i="1"/>
  <c r="E17" i="1"/>
  <c r="D19" i="3"/>
  <c r="F19" i="3" s="1"/>
  <c r="G4" i="1"/>
  <c r="G5" i="1" s="1"/>
  <c r="B5" i="2"/>
  <c r="AH2" i="7" s="1"/>
  <c r="F5" i="1"/>
  <c r="B8" i="2" s="1"/>
  <c r="AK2" i="7" s="1"/>
  <c r="E5" i="1"/>
  <c r="B7" i="2" s="1"/>
  <c r="AJ2" i="7" s="1"/>
  <c r="D5" i="1"/>
  <c r="B6" i="2" s="1"/>
  <c r="AI2" i="7" s="1"/>
  <c r="O7" i="5"/>
  <c r="S7" i="5" s="1"/>
  <c r="O9" i="5"/>
  <c r="S9" i="5" s="1"/>
  <c r="O11" i="5"/>
  <c r="S11" i="5" s="1"/>
  <c r="K6" i="5"/>
  <c r="K7" i="5"/>
  <c r="K8" i="5"/>
  <c r="O8" i="5" s="1"/>
  <c r="K9" i="5"/>
  <c r="K10" i="5"/>
  <c r="O10" i="5" s="1"/>
  <c r="S10" i="5" s="1"/>
  <c r="K11" i="5"/>
  <c r="K12" i="5"/>
  <c r="O12" i="5" s="1"/>
  <c r="S12" i="5" s="1"/>
  <c r="J6" i="5"/>
  <c r="N6" i="5" s="1"/>
  <c r="J7" i="5"/>
  <c r="N7" i="5" s="1"/>
  <c r="R7" i="5" s="1"/>
  <c r="J8" i="5"/>
  <c r="N8" i="5" s="1"/>
  <c r="R8" i="5" s="1"/>
  <c r="J9" i="5"/>
  <c r="N9" i="5" s="1"/>
  <c r="R9" i="5" s="1"/>
  <c r="J10" i="5"/>
  <c r="N10" i="5" s="1"/>
  <c r="R10" i="5" s="1"/>
  <c r="J11" i="5"/>
  <c r="N11" i="5" s="1"/>
  <c r="R11" i="5" s="1"/>
  <c r="J12" i="5"/>
  <c r="N12" i="5" s="1"/>
  <c r="R12" i="5" s="1"/>
  <c r="I6" i="5"/>
  <c r="I7" i="5"/>
  <c r="M7" i="5" s="1"/>
  <c r="Q7" i="5" s="1"/>
  <c r="I8" i="5"/>
  <c r="I9" i="5"/>
  <c r="M9" i="5" s="1"/>
  <c r="Q9" i="5" s="1"/>
  <c r="I10" i="5"/>
  <c r="M10" i="5" s="1"/>
  <c r="Q10" i="5" s="1"/>
  <c r="I11" i="5"/>
  <c r="M11" i="5" s="1"/>
  <c r="Q11" i="5" s="1"/>
  <c r="I12" i="5"/>
  <c r="M12" i="5" s="1"/>
  <c r="Q12" i="5" s="1"/>
  <c r="J5" i="5"/>
  <c r="K5" i="5"/>
  <c r="O5" i="5" s="1"/>
  <c r="S5" i="5" s="1"/>
  <c r="I5" i="5"/>
  <c r="M5" i="5" s="1"/>
  <c r="J8" i="4"/>
  <c r="J7" i="4"/>
  <c r="J6" i="4"/>
  <c r="H5" i="4"/>
  <c r="J5" i="4" s="1"/>
  <c r="J26" i="4" s="1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6" i="4"/>
  <c r="D37" i="4"/>
  <c r="D38" i="4"/>
  <c r="D39" i="4"/>
  <c r="D40" i="3"/>
  <c r="F40" i="3" s="1"/>
  <c r="D39" i="3"/>
  <c r="F39" i="3" s="1"/>
  <c r="D5" i="4"/>
  <c r="D18" i="3"/>
  <c r="F18" i="3" s="1"/>
  <c r="D38" i="3"/>
  <c r="F38" i="3" s="1"/>
  <c r="D37" i="3"/>
  <c r="F37" i="3" s="1"/>
  <c r="D36" i="3"/>
  <c r="F36" i="3" s="1"/>
  <c r="F35" i="3"/>
  <c r="D34" i="3"/>
  <c r="F34" i="3" s="1"/>
  <c r="D33" i="3"/>
  <c r="F33" i="3" s="1"/>
  <c r="D32" i="3"/>
  <c r="F32" i="3" s="1"/>
  <c r="D31" i="3"/>
  <c r="F31" i="3" s="1"/>
  <c r="D30" i="3"/>
  <c r="F30" i="3" s="1"/>
  <c r="D29" i="3"/>
  <c r="F29" i="3" s="1"/>
  <c r="D28" i="3"/>
  <c r="F28" i="3" s="1"/>
  <c r="D27" i="3"/>
  <c r="F27" i="3" s="1"/>
  <c r="F14" i="3"/>
  <c r="D7" i="3"/>
  <c r="F7" i="3" s="1"/>
  <c r="D8" i="3"/>
  <c r="F8" i="3" s="1"/>
  <c r="D9" i="3"/>
  <c r="F9" i="3" s="1"/>
  <c r="D10" i="3"/>
  <c r="F10" i="3" s="1"/>
  <c r="D11" i="3"/>
  <c r="F11" i="3" s="1"/>
  <c r="D12" i="3"/>
  <c r="F12" i="3" s="1"/>
  <c r="D13" i="3"/>
  <c r="F13" i="3" s="1"/>
  <c r="D15" i="3"/>
  <c r="F15" i="3" s="1"/>
  <c r="D16" i="3"/>
  <c r="F16" i="3" s="1"/>
  <c r="D17" i="3"/>
  <c r="F17" i="3" s="1"/>
  <c r="D6" i="3"/>
  <c r="F6" i="3" s="1"/>
  <c r="B12" i="2" l="1"/>
  <c r="A2" i="7"/>
  <c r="D12" i="1"/>
  <c r="S8" i="5"/>
  <c r="M8" i="5"/>
  <c r="Q8" i="5" s="1"/>
  <c r="I13" i="5"/>
  <c r="I15" i="5" s="1"/>
  <c r="K13" i="5"/>
  <c r="K15" i="5" s="1"/>
  <c r="M6" i="5"/>
  <c r="Q5" i="5"/>
  <c r="N5" i="5"/>
  <c r="R5" i="5" s="1"/>
  <c r="E5" i="2"/>
  <c r="E41" i="2"/>
  <c r="BH2" i="7" s="1"/>
  <c r="O6" i="5"/>
  <c r="O13" i="5" s="1"/>
  <c r="O15" i="5" s="1"/>
  <c r="Q6" i="5"/>
  <c r="R6" i="5"/>
  <c r="J13" i="5"/>
  <c r="B59" i="2"/>
  <c r="BS2" i="7" s="1"/>
  <c r="D40" i="4"/>
  <c r="B52" i="2" s="1"/>
  <c r="BN2" i="7" s="1"/>
  <c r="F20" i="3"/>
  <c r="B51" i="2" s="1"/>
  <c r="BM2" i="7" s="1"/>
  <c r="F41" i="3"/>
  <c r="B58" i="2" s="1"/>
  <c r="BR2" i="7" s="1"/>
  <c r="E7" i="2" l="1"/>
  <c r="AM2" i="7" s="1"/>
  <c r="AL2" i="7"/>
  <c r="B14" i="2"/>
  <c r="AQ2" i="7" s="1"/>
  <c r="AO2" i="7"/>
  <c r="N13" i="5"/>
  <c r="N15" i="5" s="1"/>
  <c r="S6" i="5"/>
  <c r="S13" i="5" s="1"/>
  <c r="S15" i="5" s="1"/>
  <c r="M13" i="5"/>
  <c r="M15" i="5" s="1"/>
  <c r="R13" i="5"/>
  <c r="R15" i="5" s="1"/>
  <c r="J15" i="5"/>
  <c r="B54" i="2"/>
  <c r="BP2" i="7" s="1"/>
  <c r="E45" i="2" l="1"/>
  <c r="BK2" i="7" s="1"/>
  <c r="Q13" i="5"/>
  <c r="Q15" i="5" s="1"/>
  <c r="G76" i="1"/>
  <c r="G75" i="1"/>
  <c r="G74" i="1"/>
  <c r="G69" i="1"/>
  <c r="G68" i="1"/>
  <c r="G67" i="1"/>
  <c r="G66" i="1"/>
  <c r="G65" i="1"/>
  <c r="G63" i="1"/>
  <c r="G60" i="1"/>
  <c r="G59" i="1"/>
  <c r="G58" i="1"/>
  <c r="G57" i="1"/>
  <c r="G56" i="1"/>
  <c r="G55" i="1"/>
  <c r="G54" i="1"/>
  <c r="G53" i="1"/>
  <c r="G52" i="1"/>
  <c r="G49" i="1"/>
  <c r="G48" i="1"/>
  <c r="G45" i="1"/>
  <c r="G44" i="1"/>
  <c r="G43" i="1"/>
  <c r="G42" i="1"/>
  <c r="G40" i="1"/>
  <c r="G39" i="1"/>
  <c r="G38" i="1"/>
  <c r="G36" i="1"/>
  <c r="G35" i="1"/>
  <c r="G34" i="1"/>
  <c r="G32" i="1"/>
  <c r="F69" i="1"/>
  <c r="I69" i="1"/>
  <c r="J69" i="1"/>
  <c r="J34" i="1"/>
  <c r="J35" i="1"/>
  <c r="J36" i="1"/>
  <c r="J38" i="1"/>
  <c r="J39" i="1"/>
  <c r="J40" i="1"/>
  <c r="J42" i="1"/>
  <c r="J43" i="1"/>
  <c r="J44" i="1"/>
  <c r="J45" i="1"/>
  <c r="J48" i="1"/>
  <c r="J49" i="1"/>
  <c r="J52" i="1"/>
  <c r="J53" i="1"/>
  <c r="J54" i="1"/>
  <c r="J55" i="1"/>
  <c r="J56" i="1"/>
  <c r="J57" i="1"/>
  <c r="J58" i="1"/>
  <c r="J59" i="1"/>
  <c r="J60" i="1"/>
  <c r="J63" i="1"/>
  <c r="J65" i="1"/>
  <c r="J66" i="1"/>
  <c r="J67" i="1"/>
  <c r="J68" i="1"/>
  <c r="J74" i="1"/>
  <c r="J75" i="1"/>
  <c r="J76" i="1"/>
  <c r="I34" i="1"/>
  <c r="I35" i="1"/>
  <c r="I36" i="1"/>
  <c r="I38" i="1"/>
  <c r="I39" i="1"/>
  <c r="I40" i="1"/>
  <c r="I42" i="1"/>
  <c r="I43" i="1"/>
  <c r="I44" i="1"/>
  <c r="I45" i="1"/>
  <c r="I49" i="1"/>
  <c r="I52" i="1"/>
  <c r="I53" i="1"/>
  <c r="I54" i="1"/>
  <c r="I55" i="1"/>
  <c r="I56" i="1"/>
  <c r="I57" i="1"/>
  <c r="I58" i="1"/>
  <c r="I59" i="1"/>
  <c r="I60" i="1"/>
  <c r="I63" i="1"/>
  <c r="I65" i="1"/>
  <c r="I66" i="1"/>
  <c r="I67" i="1"/>
  <c r="I68" i="1"/>
  <c r="I74" i="1"/>
  <c r="I75" i="1"/>
  <c r="I76" i="1"/>
  <c r="J32" i="1"/>
  <c r="I32" i="1"/>
  <c r="F34" i="1"/>
  <c r="F35" i="1"/>
  <c r="F36" i="1"/>
  <c r="F38" i="1"/>
  <c r="F39" i="1"/>
  <c r="F40" i="1"/>
  <c r="F42" i="1"/>
  <c r="F43" i="1"/>
  <c r="F44" i="1"/>
  <c r="F45" i="1"/>
  <c r="F49" i="1"/>
  <c r="F52" i="1"/>
  <c r="F53" i="1"/>
  <c r="F54" i="1"/>
  <c r="F55" i="1"/>
  <c r="F56" i="1"/>
  <c r="F57" i="1"/>
  <c r="F58" i="1"/>
  <c r="F59" i="1"/>
  <c r="F60" i="1"/>
  <c r="F63" i="1"/>
  <c r="F65" i="1"/>
  <c r="F66" i="1"/>
  <c r="F67" i="1"/>
  <c r="F68" i="1"/>
  <c r="F74" i="1"/>
  <c r="F75" i="1"/>
  <c r="F76" i="1"/>
  <c r="F32" i="1"/>
  <c r="T13" i="1"/>
  <c r="T14" i="1"/>
  <c r="T15" i="1"/>
  <c r="T16" i="1"/>
  <c r="T17" i="1"/>
  <c r="T18" i="1"/>
  <c r="T19" i="1"/>
  <c r="T20" i="1"/>
  <c r="T21" i="1"/>
  <c r="T22" i="1"/>
  <c r="T23" i="1"/>
  <c r="T24" i="1"/>
  <c r="T12" i="1"/>
  <c r="O22" i="1"/>
  <c r="O21" i="1"/>
  <c r="O20" i="1"/>
  <c r="O19" i="1"/>
  <c r="O18" i="1"/>
  <c r="O17" i="1"/>
  <c r="O14" i="1"/>
  <c r="O13" i="1"/>
  <c r="O12" i="1"/>
  <c r="H13" i="1"/>
  <c r="H14" i="1"/>
  <c r="H15" i="1"/>
  <c r="H16" i="1"/>
  <c r="H18" i="1"/>
  <c r="H19" i="1"/>
  <c r="H20" i="1"/>
  <c r="H21" i="1"/>
  <c r="H12" i="1"/>
  <c r="I77" i="1" l="1"/>
  <c r="B53" i="2" s="1"/>
  <c r="J77" i="1"/>
  <c r="B60" i="2" s="1"/>
  <c r="F77" i="1"/>
  <c r="B83" i="1" s="1"/>
  <c r="B24" i="2" s="1"/>
  <c r="AV2" i="7" s="1"/>
  <c r="G77" i="1"/>
  <c r="B84" i="1" s="1"/>
  <c r="B25" i="2" s="1"/>
  <c r="AW2" i="7" s="1"/>
  <c r="T26" i="1"/>
  <c r="O26" i="1"/>
  <c r="H23" i="1"/>
  <c r="B16" i="2" s="1"/>
  <c r="AR2" i="7" s="1"/>
  <c r="B61" i="2" l="1"/>
  <c r="BU2" i="7" s="1"/>
  <c r="BT2" i="7"/>
  <c r="B55" i="2"/>
  <c r="BQ2" i="7" s="1"/>
  <c r="BO2" i="7"/>
  <c r="H24" i="1"/>
  <c r="B11" i="2" s="1"/>
  <c r="AN2" i="7" s="1"/>
  <c r="O27" i="1"/>
  <c r="B81" i="1"/>
  <c r="B22" i="2" s="1"/>
  <c r="AT2" i="7" s="1"/>
  <c r="T27" i="1"/>
  <c r="B82" i="1"/>
  <c r="B23" i="2" s="1"/>
  <c r="AU2" i="7" s="1"/>
  <c r="F13" i="1"/>
  <c r="F14" i="1"/>
  <c r="F15" i="1"/>
  <c r="F16" i="1"/>
  <c r="F18" i="1"/>
  <c r="F19" i="1"/>
  <c r="F20" i="1"/>
  <c r="F21" i="1"/>
  <c r="E13" i="1"/>
  <c r="E14" i="1"/>
  <c r="E15" i="1"/>
  <c r="E16" i="1"/>
  <c r="E18" i="1"/>
  <c r="E19" i="1"/>
  <c r="E20" i="1"/>
  <c r="E21" i="1"/>
  <c r="E12" i="1"/>
  <c r="M4" i="1"/>
  <c r="L4" i="1"/>
  <c r="K4" i="1"/>
  <c r="J4" i="1"/>
  <c r="I4" i="1"/>
  <c r="B63" i="2" l="1"/>
  <c r="BV2" i="7" s="1"/>
  <c r="F12" i="1"/>
  <c r="F23" i="1" s="1"/>
  <c r="B80" i="1" s="1"/>
  <c r="E23" i="1"/>
  <c r="E63" i="2" l="1"/>
  <c r="G63" i="2" s="1"/>
  <c r="E65" i="2"/>
  <c r="E66" i="2"/>
  <c r="CA2" i="7" s="1"/>
  <c r="E62" i="2"/>
  <c r="B65" i="2"/>
  <c r="BW2" i="7" s="1"/>
  <c r="BZ2" i="7"/>
  <c r="G65" i="2"/>
  <c r="BX2" i="7"/>
  <c r="G62" i="2"/>
  <c r="B85" i="1"/>
  <c r="B89" i="1" s="1"/>
  <c r="B90" i="1" s="1"/>
  <c r="F90" i="1" s="1"/>
  <c r="B21" i="2"/>
  <c r="E24" i="1"/>
  <c r="E26" i="1"/>
  <c r="E27" i="1" s="1"/>
  <c r="F24" i="1"/>
  <c r="F26" i="1"/>
  <c r="F27" i="1" s="1"/>
  <c r="G66" i="2" l="1"/>
  <c r="BY2" i="7"/>
  <c r="B26" i="2"/>
  <c r="AS2" i="7"/>
  <c r="B87" i="1"/>
  <c r="F87" i="1" s="1"/>
  <c r="B28" i="2" l="1"/>
  <c r="AY2" i="7" s="1"/>
  <c r="E30" i="2"/>
  <c r="G30" i="2" s="1"/>
  <c r="B33" i="2"/>
  <c r="BB2" i="7" s="1"/>
  <c r="E29" i="2"/>
  <c r="AX2" i="7"/>
  <c r="B42" i="2"/>
  <c r="E28" i="2"/>
  <c r="AZ2" i="7" s="1"/>
  <c r="E36" i="2" l="1"/>
  <c r="G36" i="2" s="1"/>
  <c r="B34" i="2"/>
  <c r="E34" i="2" s="1"/>
  <c r="BD2" i="7" s="1"/>
  <c r="E42" i="2"/>
  <c r="BG2" i="7"/>
  <c r="G29" i="2"/>
  <c r="BA2" i="7"/>
  <c r="BE2" i="7" l="1"/>
  <c r="BC2" i="7"/>
  <c r="E43" i="2"/>
  <c r="BI2" i="7"/>
  <c r="E46" i="2" l="1"/>
  <c r="BJ2" i="7"/>
  <c r="G46" i="2" l="1"/>
  <c r="BL2" i="7"/>
</calcChain>
</file>

<file path=xl/sharedStrings.xml><?xml version="1.0" encoding="utf-8"?>
<sst xmlns="http://schemas.openxmlformats.org/spreadsheetml/2006/main" count="432" uniqueCount="279">
  <si>
    <t>DAERA NAP PROPOSALS IMPACT CALCULATOR</t>
  </si>
  <si>
    <t>This spreadsheet is designed to show the impact of the current DAERA NAP Proposals</t>
  </si>
  <si>
    <t>Land, Stock &amp; Slurry</t>
  </si>
  <si>
    <t>Livestock in and Out (Adjust liveweight values as needed)</t>
  </si>
  <si>
    <t>Feed and other produce (Not P values for dairy and other ruminant concentrates are the based on proposed new values - these can be adjusted if you have your own figures</t>
  </si>
  <si>
    <t>Fertiliser</t>
  </si>
  <si>
    <t>The summary sheet at the end will then display the key results</t>
  </si>
  <si>
    <t>N Loading for "Intensive" farms and for derogation purposes</t>
  </si>
  <si>
    <t>Fertiliser limits (and if current application rates exceed these)</t>
  </si>
  <si>
    <t>P Balance (and how much extra land / stock reduction is needed to meet the 10kg/ha and 8kgP/ha proposed limits</t>
  </si>
  <si>
    <t>This spreadsheet is indicative only and should not be relied upon for current NAP program compliance purposes (CAFRE's online tools should be used for this)</t>
  </si>
  <si>
    <t>ENTER DATA IN COLOURED CELLS ONLY</t>
  </si>
  <si>
    <t>% Used for mainly grazing</t>
  </si>
  <si>
    <t>% Used for Silage</t>
  </si>
  <si>
    <t>% Used for arable</t>
  </si>
  <si>
    <t>Total Check</t>
  </si>
  <si>
    <t>Max N for Intensive Rules</t>
  </si>
  <si>
    <t>Max N for Non-Derogated</t>
  </si>
  <si>
    <t>Max N for Derogated</t>
  </si>
  <si>
    <t>Max P Surplus at 10kg Limit (2027)</t>
  </si>
  <si>
    <t>Max P Surplus at 8kg Limit (2029)</t>
  </si>
  <si>
    <t>Please enter land area farmed (Hectares)</t>
  </si>
  <si>
    <t>Total Litres of milk sold</t>
  </si>
  <si>
    <t>Milk Yield per Cow</t>
  </si>
  <si>
    <t>Grazing Livestock</t>
  </si>
  <si>
    <t>Pigs</t>
  </si>
  <si>
    <t>Poultry</t>
  </si>
  <si>
    <t>Average Livestock Numbers over a year</t>
  </si>
  <si>
    <t>Current N Rates</t>
  </si>
  <si>
    <t>Proposed N Rates</t>
  </si>
  <si>
    <t>N Under Current Rates</t>
  </si>
  <si>
    <t>N Under Proposed Rates</t>
  </si>
  <si>
    <t>LU / Head</t>
  </si>
  <si>
    <t>LU per Class</t>
  </si>
  <si>
    <t>Livestock Type</t>
  </si>
  <si>
    <t>N Rates / Year</t>
  </si>
  <si>
    <t>Total N per Livestock class / year</t>
  </si>
  <si>
    <t>Nitrogen (N) produced per 1000 birds per crop(kg N)</t>
  </si>
  <si>
    <t>Phosphorus (P) produced per 1000 birds per crop(kg P)</t>
  </si>
  <si>
    <t>Dairy Cows</t>
  </si>
  <si>
    <t>Adult Pigs</t>
  </si>
  <si>
    <t>Boar</t>
  </si>
  <si>
    <t>Broilers – hot water heating</t>
  </si>
  <si>
    <t>Suckler Cows</t>
  </si>
  <si>
    <t>Maiden Gilt</t>
  </si>
  <si>
    <t>Conventional broilers</t>
  </si>
  <si>
    <t>Breeding Bulls</t>
  </si>
  <si>
    <t>Breeding Sow</t>
  </si>
  <si>
    <t>Free range broilers</t>
  </si>
  <si>
    <t>Cattle &gt; 2 Years</t>
  </si>
  <si>
    <t>Approx Start weight (kg)</t>
  </si>
  <si>
    <t>Approx Sale Weight (kg)</t>
  </si>
  <si>
    <r>
      <t>Turkeys</t>
    </r>
    <r>
      <rPr>
        <vertAlign val="superscript"/>
        <sz val="8.8000000000000007"/>
        <color rgb="FF1E1E1E"/>
        <rFont val="Arial"/>
        <family val="2"/>
      </rPr>
      <t>1</t>
    </r>
    <r>
      <rPr>
        <sz val="8.8000000000000007"/>
        <color rgb="FF1E1E1E"/>
        <rFont val="Arial"/>
        <family val="2"/>
      </rPr>
      <t> 0 – 6 weeks</t>
    </r>
  </si>
  <si>
    <t>Cattle 1-2 Years</t>
  </si>
  <si>
    <r>
      <t>Turkeys</t>
    </r>
    <r>
      <rPr>
        <vertAlign val="superscript"/>
        <sz val="8.8000000000000007"/>
        <color rgb="FF1E1E1E"/>
        <rFont val="Arial"/>
        <family val="2"/>
      </rPr>
      <t>1</t>
    </r>
    <r>
      <rPr>
        <sz val="8.8000000000000007"/>
        <color rgb="FF1E1E1E"/>
        <rFont val="Arial"/>
        <family val="2"/>
      </rPr>
      <t> 6 weeks – kill</t>
    </r>
  </si>
  <si>
    <t>Bull Beef (0-13 months)</t>
  </si>
  <si>
    <t>Pigs weaned at 3-4 wks</t>
  </si>
  <si>
    <t>6 to 8</t>
  </si>
  <si>
    <t>18 (7.5 Weeks)</t>
  </si>
  <si>
    <r>
      <t>Turkeys</t>
    </r>
    <r>
      <rPr>
        <vertAlign val="superscript"/>
        <sz val="8.8000000000000007"/>
        <color rgb="FF1E1E1E"/>
        <rFont val="Arial"/>
        <family val="2"/>
      </rPr>
      <t>1</t>
    </r>
    <r>
      <rPr>
        <sz val="8.8000000000000007"/>
        <color rgb="FF1E1E1E"/>
        <rFont val="Arial"/>
        <family val="2"/>
      </rPr>
      <t> 0 – kill</t>
    </r>
  </si>
  <si>
    <t>Bull Beef (6-13 months)</t>
  </si>
  <si>
    <t>35 (11 weeks)</t>
  </si>
  <si>
    <t>Fattening ducks</t>
  </si>
  <si>
    <t>Cattle 0-1 years</t>
  </si>
  <si>
    <t>105 (23 weeeks)</t>
  </si>
  <si>
    <t>Broiler breeders 0 – 18 weeks</t>
  </si>
  <si>
    <t>Ewe &gt;1 yr</t>
  </si>
  <si>
    <t>Growing &amp; Finishing Pigs</t>
  </si>
  <si>
    <t>Broiler breeders 18 – 60 weeks</t>
  </si>
  <si>
    <t>Ram &gt;1 year</t>
  </si>
  <si>
    <t>Broiler breeders 0 – 60 weeks</t>
  </si>
  <si>
    <t>Pullets</t>
  </si>
  <si>
    <t>Layers</t>
  </si>
  <si>
    <t>Free range laying hens</t>
  </si>
  <si>
    <t>Organic N per Hectare</t>
  </si>
  <si>
    <t>LU/ha</t>
  </si>
  <si>
    <t>Total Organic N / Ha from all Livestock</t>
  </si>
  <si>
    <t>Liquid / slurry manure types</t>
  </si>
  <si>
    <t>Dry matter content (%)</t>
  </si>
  <si>
    <t>Slurry Imported (M3)</t>
  </si>
  <si>
    <t>Slurry Exported off Farm (M3)</t>
  </si>
  <si>
    <r>
      <t>Total Nitrogen (N) content by volume(kg N/m</t>
    </r>
    <r>
      <rPr>
        <b/>
        <i/>
        <vertAlign val="superscript"/>
        <sz val="9"/>
        <color rgb="FF000000"/>
        <rFont val="Arial"/>
        <family val="2"/>
      </rPr>
      <t>3</t>
    </r>
    <r>
      <rPr>
        <b/>
        <i/>
        <sz val="9"/>
        <color rgb="FF000000"/>
        <rFont val="Arial"/>
        <family val="2"/>
      </rPr>
      <t>)</t>
    </r>
    <r>
      <rPr>
        <b/>
        <vertAlign val="superscript"/>
        <sz val="9"/>
        <color rgb="FF000000"/>
        <rFont val="Arial"/>
        <family val="2"/>
      </rPr>
      <t>12</t>
    </r>
  </si>
  <si>
    <t>Slurry N Imports (kg)</t>
  </si>
  <si>
    <t>Slurry N Exports (kg)</t>
  </si>
  <si>
    <r>
      <t>Total phosphorus (P) content by volume(kg P/m</t>
    </r>
    <r>
      <rPr>
        <b/>
        <i/>
        <vertAlign val="superscript"/>
        <sz val="9"/>
        <color rgb="FF000000"/>
        <rFont val="Arial"/>
        <family val="2"/>
      </rPr>
      <t>3</t>
    </r>
    <r>
      <rPr>
        <b/>
        <i/>
        <sz val="9"/>
        <color rgb="FF000000"/>
        <rFont val="Arial"/>
        <family val="2"/>
      </rPr>
      <t>)</t>
    </r>
    <r>
      <rPr>
        <b/>
        <vertAlign val="superscript"/>
        <sz val="9"/>
        <color rgb="FF000000"/>
        <rFont val="Arial"/>
        <family val="2"/>
      </rPr>
      <t>12</t>
    </r>
  </si>
  <si>
    <t>Slurry P Imports (kg)</t>
  </si>
  <si>
    <t>Slurry P Exports (kg)</t>
  </si>
  <si>
    <t>Proportion of total phosphorus to total nitrogen</t>
  </si>
  <si>
    <t>Liquids</t>
  </si>
  <si>
    <t>Dirty water</t>
  </si>
  <si>
    <t>Cattle slurries</t>
  </si>
  <si>
    <t>Cattle slurry</t>
  </si>
  <si>
    <t>Separated cattle slurries (liquid portion)</t>
  </si>
  <si>
    <t>Strainer box</t>
  </si>
  <si>
    <t>Weeping wall</t>
  </si>
  <si>
    <t>Screw press</t>
  </si>
  <si>
    <t>Pig slurries</t>
  </si>
  <si>
    <t>Pig slurry</t>
  </si>
  <si>
    <t>Separated pig slurry (liquid portion)</t>
  </si>
  <si>
    <t>Solid manure type</t>
  </si>
  <si>
    <t>Manure Imported (t)</t>
  </si>
  <si>
    <t>Manure Exported Off-Farm (t)</t>
  </si>
  <si>
    <t>Poultry manures</t>
  </si>
  <si>
    <t>Broiler – hot water heating</t>
  </si>
  <si>
    <t>Free range broilers 0 – kill</t>
  </si>
  <si>
    <t>Free range broilers 0-28d</t>
  </si>
  <si>
    <t>Free range broilers 28days-finish</t>
  </si>
  <si>
    <t>Conventional broiler</t>
  </si>
  <si>
    <t>Turkeys 0 – 6 weeks</t>
  </si>
  <si>
    <t>Turkeys 6 – kill</t>
  </si>
  <si>
    <t>Turkeys 0 – kill</t>
  </si>
  <si>
    <t>Free range laying hens - single tier</t>
  </si>
  <si>
    <t>Free Range laying hens - multi tier</t>
  </si>
  <si>
    <t>Housed Hens</t>
  </si>
  <si>
    <t>Duck</t>
  </si>
  <si>
    <t>Farmyard manures</t>
  </si>
  <si>
    <t>Cattle manures</t>
  </si>
  <si>
    <t>Sheep manures</t>
  </si>
  <si>
    <t>Goat manures</t>
  </si>
  <si>
    <t>Pig manures</t>
  </si>
  <si>
    <t>Horse manures</t>
  </si>
  <si>
    <t>Miscellaneous manures</t>
  </si>
  <si>
    <t>Spent mushroom compost</t>
  </si>
  <si>
    <t>Separated cattle slurry (solid portion)</t>
  </si>
  <si>
    <t>Separated pig slurry (solid portion)</t>
  </si>
  <si>
    <t>TOTAL</t>
  </si>
  <si>
    <t>Proposed Rates</t>
  </si>
  <si>
    <t>N from Grazing Livestock</t>
  </si>
  <si>
    <t>N from Pigs</t>
  </si>
  <si>
    <t>N from Poultry</t>
  </si>
  <si>
    <t>N from Slurry Imports</t>
  </si>
  <si>
    <t>N from Slurry Exports</t>
  </si>
  <si>
    <t>Total Organic N / year (kg)</t>
  </si>
  <si>
    <t>Organic N / year / ha</t>
  </si>
  <si>
    <t>Derogation Needed</t>
  </si>
  <si>
    <t>Total Organic N for Intensive Rule</t>
  </si>
  <si>
    <t>Intensive Farm Category</t>
  </si>
  <si>
    <t>Livestock Imports</t>
  </si>
  <si>
    <t>No Imported</t>
  </si>
  <si>
    <t>Average Weight</t>
  </si>
  <si>
    <t>Total Kg Imported</t>
  </si>
  <si>
    <t>P Rate / kg</t>
  </si>
  <si>
    <t>Total P</t>
  </si>
  <si>
    <t>Dropped Calves</t>
  </si>
  <si>
    <t xml:space="preserve">Lambs </t>
  </si>
  <si>
    <t>Livestock Exports</t>
  </si>
  <si>
    <t>No Exported</t>
  </si>
  <si>
    <t>Total Kg Exported</t>
  </si>
  <si>
    <t>IMPORTS OF FEED, FORAGE, STRAW ETC</t>
  </si>
  <si>
    <t>EXPORTS OF MILK, WOOL, EGGS &amp; CROPS</t>
  </si>
  <si>
    <t>Agricultural Product</t>
  </si>
  <si>
    <t>Amount (t)</t>
  </si>
  <si>
    <t>P Content (% fresh weight)</t>
  </si>
  <si>
    <t>kg P Imported</t>
  </si>
  <si>
    <t>kg P Exported</t>
  </si>
  <si>
    <t>Dairy Concentrates</t>
  </si>
  <si>
    <t>Milk (litres)</t>
  </si>
  <si>
    <t>Eggs</t>
  </si>
  <si>
    <t>Other Ruminants</t>
  </si>
  <si>
    <t>Wool</t>
  </si>
  <si>
    <t>Potatoes</t>
  </si>
  <si>
    <t>Poultry Concentrates</t>
  </si>
  <si>
    <t>Straw</t>
  </si>
  <si>
    <t>Pig Concentrates</t>
  </si>
  <si>
    <t>Silage</t>
  </si>
  <si>
    <t>Hay</t>
  </si>
  <si>
    <t>Oats</t>
  </si>
  <si>
    <t>Barley</t>
  </si>
  <si>
    <t>Wheat</t>
  </si>
  <si>
    <t>Maize</t>
  </si>
  <si>
    <t>Linseed</t>
  </si>
  <si>
    <t>Rape</t>
  </si>
  <si>
    <t>Full fat soya</t>
  </si>
  <si>
    <t>Peas</t>
  </si>
  <si>
    <t>Sugar Beet</t>
  </si>
  <si>
    <t>Grass fresh</t>
  </si>
  <si>
    <t>Soya</t>
  </si>
  <si>
    <t>Whole crop wheat silage</t>
  </si>
  <si>
    <t>Sunflower</t>
  </si>
  <si>
    <t>Forage Maize Fresh</t>
  </si>
  <si>
    <t>Gluten</t>
  </si>
  <si>
    <t>Forage Maize Silage</t>
  </si>
  <si>
    <t>Citrus</t>
  </si>
  <si>
    <t>Wheat distillers</t>
  </si>
  <si>
    <t>Corn distillers</t>
  </si>
  <si>
    <t>Palm Kernal</t>
  </si>
  <si>
    <t>Pollard</t>
  </si>
  <si>
    <t>Soya Hulls</t>
  </si>
  <si>
    <t>Enter Data in this table only</t>
  </si>
  <si>
    <t>FERTILISER PURCHASED / USED</t>
  </si>
  <si>
    <t>Total Fert</t>
  </si>
  <si>
    <t>Grassland Fert</t>
  </si>
  <si>
    <t>Arable Fert</t>
  </si>
  <si>
    <t>Product Name</t>
  </si>
  <si>
    <t>Tonnes</t>
  </si>
  <si>
    <t>N %</t>
  </si>
  <si>
    <t>% Used for grassland</t>
  </si>
  <si>
    <t>Total kgs N</t>
  </si>
  <si>
    <t>Urea</t>
  </si>
  <si>
    <t>kg N/P/K per Ha</t>
  </si>
  <si>
    <t>SUMMARY SHEET</t>
  </si>
  <si>
    <t>(No data to be entered on this sheet)</t>
  </si>
  <si>
    <t>Land</t>
  </si>
  <si>
    <t>Ha</t>
  </si>
  <si>
    <t>Total Land Area</t>
  </si>
  <si>
    <t>Land used for grazing</t>
  </si>
  <si>
    <t>Land used for silage</t>
  </si>
  <si>
    <t>Qualify for Derogation</t>
  </si>
  <si>
    <t>Land used for arable</t>
  </si>
  <si>
    <t>(Grassland rule)</t>
  </si>
  <si>
    <t>Organic N</t>
  </si>
  <si>
    <t>kgN</t>
  </si>
  <si>
    <t>Extra Land to avoid intensive category (Ha)</t>
  </si>
  <si>
    <t>Extra Land to avoid derogation (Ha)</t>
  </si>
  <si>
    <t>MAX N Rate for Grazing</t>
  </si>
  <si>
    <t>Max kgN Allowed</t>
  </si>
  <si>
    <t>Max N Rate for Silage</t>
  </si>
  <si>
    <t>Grazing</t>
  </si>
  <si>
    <t>Total Grassland</t>
  </si>
  <si>
    <t>Actual N used on Grassland</t>
  </si>
  <si>
    <t>Reduction Needed</t>
  </si>
  <si>
    <t>Phosphorus Balance</t>
  </si>
  <si>
    <t>Stocking Rate (LU/ha)</t>
  </si>
  <si>
    <t>Inputs</t>
  </si>
  <si>
    <t>KgP</t>
  </si>
  <si>
    <t>Livestock in</t>
  </si>
  <si>
    <t>Feed and other produce</t>
  </si>
  <si>
    <t>Slurry Imports</t>
  </si>
  <si>
    <t>Total Inputs</t>
  </si>
  <si>
    <t>Outputs</t>
  </si>
  <si>
    <t>Land needed to ger below 10kgP/ha</t>
  </si>
  <si>
    <t>Livestock out</t>
  </si>
  <si>
    <t>or Stock Reduction</t>
  </si>
  <si>
    <t>Milk, crops, wool, eggs</t>
  </si>
  <si>
    <t>Slurry Exports</t>
  </si>
  <si>
    <t>Land needed to get below 8kgP/ha</t>
  </si>
  <si>
    <t>Total Exports</t>
  </si>
  <si>
    <t>P Surplus / Deficit (kgs)</t>
  </si>
  <si>
    <t>P Surplus / Deficit / ha</t>
  </si>
  <si>
    <t>Lambs 0-1 years</t>
  </si>
  <si>
    <t>Organic N Loading</t>
  </si>
  <si>
    <t>Milk Yield (litres)</t>
  </si>
  <si>
    <t>Dairy Concentrate / Cow (kg)</t>
  </si>
  <si>
    <t>Milk from Forage / cow (litres)</t>
  </si>
  <si>
    <t>N Fertiliser Allowance</t>
  </si>
  <si>
    <t>Percentage Grasland</t>
  </si>
  <si>
    <t>Other feed per non-dairy cow LU (kg)</t>
  </si>
  <si>
    <t>Can</t>
  </si>
  <si>
    <r>
      <t xml:space="preserve">Digestate </t>
    </r>
    <r>
      <rPr>
        <i/>
        <sz val="11"/>
        <color rgb="FF000000"/>
        <rFont val="Arial"/>
        <family val="2"/>
      </rPr>
      <t>(please enter your own N &amp; P figures from the analysis)</t>
    </r>
  </si>
  <si>
    <t>Barley Distilliers</t>
  </si>
  <si>
    <t>(Note not listed in legislation)</t>
  </si>
  <si>
    <t>Calf Milk Replacer</t>
  </si>
  <si>
    <t>(Space to insert any other feeds not listed elsewhere)</t>
  </si>
  <si>
    <t>(Space to insert any other produce not listed elsewhere)</t>
  </si>
  <si>
    <t>Enter data only in the cells indicated (colured yellow except for slurry imports (orange) and slurry exports (green))</t>
  </si>
  <si>
    <t>Note to qualify for a derogation your farm must be more than 80% grassland</t>
  </si>
  <si>
    <r>
      <t xml:space="preserve">Note: Currently derogated farms have to have a P (phosphorus) balance of below </t>
    </r>
    <r>
      <rPr>
        <b/>
        <sz val="11"/>
        <color theme="1"/>
        <rFont val="Aptos Narrow"/>
        <family val="2"/>
        <scheme val="minor"/>
      </rPr>
      <t>10kgP/ha</t>
    </r>
    <r>
      <rPr>
        <sz val="11"/>
        <color theme="1"/>
        <rFont val="Aptos Narrow"/>
        <family val="2"/>
        <scheme val="minor"/>
      </rPr>
      <t xml:space="preserve">.  Under the proposals this limit will be extended to all </t>
    </r>
    <r>
      <rPr>
        <b/>
        <sz val="11"/>
        <color theme="1"/>
        <rFont val="Aptos Narrow"/>
        <family val="2"/>
        <scheme val="minor"/>
      </rPr>
      <t>"intensive"</t>
    </r>
    <r>
      <rPr>
        <sz val="11"/>
        <color theme="1"/>
        <rFont val="Aptos Narrow"/>
        <family val="2"/>
        <scheme val="minor"/>
      </rPr>
      <t xml:space="preserve"> farms in</t>
    </r>
    <r>
      <rPr>
        <b/>
        <sz val="11"/>
        <color theme="1"/>
        <rFont val="Aptos Narrow"/>
        <family val="2"/>
        <scheme val="minor"/>
      </rPr>
      <t xml:space="preserve"> 2027</t>
    </r>
    <r>
      <rPr>
        <sz val="11"/>
        <color theme="1"/>
        <rFont val="Aptos Narrow"/>
        <family val="2"/>
        <scheme val="minor"/>
      </rPr>
      <t xml:space="preserve">.  The consultation proposes a further reduction to a maximum surplus of  less than </t>
    </r>
    <r>
      <rPr>
        <b/>
        <sz val="11"/>
        <color theme="1"/>
        <rFont val="Aptos Narrow"/>
        <family val="2"/>
        <scheme val="minor"/>
      </rPr>
      <t>8kgP/ha in 2029</t>
    </r>
    <r>
      <rPr>
        <sz val="11"/>
        <color theme="1"/>
        <rFont val="Aptos Narrow"/>
        <family val="2"/>
        <scheme val="minor"/>
      </rPr>
      <t>.</t>
    </r>
  </si>
  <si>
    <r>
      <t xml:space="preserve">Note: Under proposals farms with a </t>
    </r>
    <r>
      <rPr>
        <b/>
        <i/>
        <sz val="11"/>
        <color theme="1"/>
        <rFont val="Aptos Narrow"/>
        <family val="2"/>
        <scheme val="minor"/>
      </rPr>
      <t>holding</t>
    </r>
    <r>
      <rPr>
        <i/>
        <sz val="11"/>
        <color theme="1"/>
        <rFont val="Aptos Narrow"/>
        <family val="2"/>
        <scheme val="minor"/>
      </rPr>
      <t xml:space="preserve"> organic N loading of above 150kgN/ha will be considered</t>
    </r>
    <r>
      <rPr>
        <b/>
        <i/>
        <sz val="11"/>
        <color theme="1"/>
        <rFont val="Aptos Narrow"/>
        <family val="2"/>
        <scheme val="minor"/>
      </rPr>
      <t xml:space="preserve"> "intensive" </t>
    </r>
    <r>
      <rPr>
        <i/>
        <sz val="11"/>
        <color theme="1"/>
        <rFont val="Aptos Narrow"/>
        <family val="2"/>
        <scheme val="minor"/>
      </rPr>
      <t xml:space="preserve">and will be subject to a P balance.  </t>
    </r>
    <r>
      <rPr>
        <b/>
        <i/>
        <sz val="11"/>
        <color theme="1"/>
        <rFont val="Aptos Narrow"/>
        <family val="2"/>
        <scheme val="minor"/>
      </rPr>
      <t>Slurry exports cannot be included in this calculation</t>
    </r>
    <r>
      <rPr>
        <i/>
        <sz val="11"/>
        <color theme="1"/>
        <rFont val="Aptos Narrow"/>
        <family val="2"/>
        <scheme val="minor"/>
      </rPr>
      <t xml:space="preserve"> (but imports are included)</t>
    </r>
  </si>
  <si>
    <t>Note: Currently if your organic N loading is above 170kgN/ha you must apply for a derogation which allowes you to stock up to a maximum of 250kgN/ha</t>
  </si>
  <si>
    <r>
      <t>P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O</t>
    </r>
    <r>
      <rPr>
        <vertAlign val="subscript"/>
        <sz val="11"/>
        <color theme="1"/>
        <rFont val="Aptos Narrow"/>
        <family val="2"/>
        <scheme val="minor"/>
      </rPr>
      <t>5</t>
    </r>
    <r>
      <rPr>
        <sz val="11"/>
        <color theme="1"/>
        <rFont val="Aptos Narrow"/>
        <family val="2"/>
        <scheme val="minor"/>
      </rPr>
      <t xml:space="preserve"> %</t>
    </r>
  </si>
  <si>
    <r>
      <t>K</t>
    </r>
    <r>
      <rPr>
        <vertAlign val="subscript"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O%</t>
    </r>
  </si>
  <si>
    <r>
      <t>Total kg P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O</t>
    </r>
    <r>
      <rPr>
        <b/>
        <vertAlign val="subscript"/>
        <sz val="11"/>
        <color theme="1"/>
        <rFont val="Aptos Narrow"/>
        <family val="2"/>
        <scheme val="minor"/>
      </rPr>
      <t xml:space="preserve">5 </t>
    </r>
  </si>
  <si>
    <r>
      <t>Total kg K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>O</t>
    </r>
  </si>
  <si>
    <t>Pigs weaned at 3-4 wks 6 to 8 18 (7.5 Weeks)</t>
  </si>
  <si>
    <t>Pigs weaned at 3-4 wks 6 to 8 35 (11 weeks)</t>
  </si>
  <si>
    <t>Pigs weaned at 3-4 wks 6 to 8 105 (23 weeeks)</t>
  </si>
  <si>
    <t>Growing &amp; Finishing Pigs 18 35</t>
  </si>
  <si>
    <t>Growing &amp; Finishing Pigs 18 105</t>
  </si>
  <si>
    <t>Growing &amp; Finishing Pigs 36 105</t>
  </si>
  <si>
    <r>
      <t>Turkeys</t>
    </r>
    <r>
      <rPr>
        <b/>
        <vertAlign val="superscript"/>
        <sz val="8.8000000000000007"/>
        <color rgb="FF1E1E1E"/>
        <rFont val="Arial"/>
        <family val="2"/>
      </rPr>
      <t>1</t>
    </r>
    <r>
      <rPr>
        <b/>
        <sz val="8.8000000000000007"/>
        <color rgb="FF1E1E1E"/>
        <rFont val="Arial"/>
        <family val="2"/>
      </rPr>
      <t> 0 – 6 weeks</t>
    </r>
  </si>
  <si>
    <r>
      <t>Turkeys</t>
    </r>
    <r>
      <rPr>
        <b/>
        <vertAlign val="superscript"/>
        <sz val="8.8000000000000007"/>
        <color rgb="FF1E1E1E"/>
        <rFont val="Arial"/>
        <family val="2"/>
      </rPr>
      <t>1</t>
    </r>
    <r>
      <rPr>
        <b/>
        <sz val="8.8000000000000007"/>
        <color rgb="FF1E1E1E"/>
        <rFont val="Arial"/>
        <family val="2"/>
      </rPr>
      <t> 6 weeks – kill</t>
    </r>
  </si>
  <si>
    <r>
      <t>Turkeys</t>
    </r>
    <r>
      <rPr>
        <b/>
        <vertAlign val="superscript"/>
        <sz val="8.8000000000000007"/>
        <color rgb="FF1E1E1E"/>
        <rFont val="Arial"/>
        <family val="2"/>
      </rPr>
      <t>1</t>
    </r>
    <r>
      <rPr>
        <b/>
        <sz val="8.8000000000000007"/>
        <color rgb="FF1E1E1E"/>
        <rFont val="Arial"/>
        <family val="2"/>
      </rPr>
      <t> 0 – kill</t>
    </r>
  </si>
  <si>
    <t>Qualify for Derogation (Grassland rule)</t>
  </si>
  <si>
    <t>Max kgN AllowedGrazing</t>
  </si>
  <si>
    <t>Max kgN AllowedSilage</t>
  </si>
  <si>
    <t>Max kgN AllowedTotal Grassland</t>
  </si>
  <si>
    <t>Extra Land to qualify for derogation (Ha) if over 250kgN/ha)</t>
  </si>
  <si>
    <t>Total Organic N from all Livestock</t>
  </si>
  <si>
    <t>Total number of birds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</si>
</sst>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"/>
    <numFmt numFmtId="167" formatCode="0.0"/>
  </numFmts>
  <fonts count="3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.8000000000000007"/>
      <color rgb="FF1E1E1E"/>
      <name val="Arial"/>
      <family val="2"/>
    </font>
    <font>
      <vertAlign val="superscript"/>
      <sz val="8.8000000000000007"/>
      <color rgb="FF1E1E1E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8"/>
      <color rgb="FF000000"/>
      <name val="Arial"/>
      <family val="2"/>
    </font>
    <font>
      <sz val="11"/>
      <color rgb="FF000000"/>
      <name val="Arial"/>
      <family val="2"/>
    </font>
    <font>
      <b/>
      <i/>
      <sz val="9"/>
      <color rgb="FF000000"/>
      <name val="Arial"/>
      <family val="2"/>
    </font>
    <font>
      <b/>
      <i/>
      <vertAlign val="superscript"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sz val="8.8000000000000007"/>
      <color rgb="FFFF0000"/>
      <name val="Arial"/>
      <family val="2"/>
    </font>
    <font>
      <sz val="8.8000000000000007"/>
      <color theme="9" tint="-0.499984740745262"/>
      <name val="Arial"/>
      <family val="2"/>
    </font>
    <font>
      <b/>
      <sz val="14"/>
      <color theme="1"/>
      <name val="Aptos Narrow"/>
      <family val="2"/>
      <scheme val="minor"/>
    </font>
    <font>
      <b/>
      <sz val="14"/>
      <color rgb="FFFF0000"/>
      <name val="Arial"/>
      <family val="2"/>
    </font>
    <font>
      <b/>
      <sz val="14"/>
      <color theme="9" tint="-0.499984740745262"/>
      <name val="Arial"/>
      <family val="2"/>
    </font>
    <font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1"/>
      <color rgb="FF000000"/>
      <name val="Arial"/>
      <family val="2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sz val="8.8000000000000007"/>
      <color rgb="FF1E1E1E"/>
      <name val="Arial"/>
      <family val="2"/>
    </font>
    <font>
      <b/>
      <vertAlign val="superscript"/>
      <sz val="8.8000000000000007"/>
      <color rgb="FF1E1E1E"/>
      <name val="Arial"/>
      <family val="2"/>
    </font>
    <font>
      <b/>
      <sz val="10"/>
      <color theme="1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164" fontId="0" fillId="0" borderId="0" xfId="1" applyNumberFormat="1" applyFont="1"/>
    <xf numFmtId="164" fontId="2" fillId="0" borderId="0" xfId="0" applyNumberFormat="1" applyFont="1"/>
    <xf numFmtId="43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8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64" fontId="0" fillId="0" borderId="1" xfId="1" applyNumberFormat="1" applyFont="1" applyBorder="1"/>
    <xf numFmtId="0" fontId="2" fillId="0" borderId="0" xfId="0" applyFont="1"/>
    <xf numFmtId="0" fontId="0" fillId="8" borderId="1" xfId="0" applyFill="1" applyBorder="1"/>
    <xf numFmtId="164" fontId="0" fillId="8" borderId="1" xfId="1" applyNumberFormat="1" applyFont="1" applyFill="1" applyBorder="1"/>
    <xf numFmtId="164" fontId="2" fillId="8" borderId="1" xfId="0" applyNumberFormat="1" applyFont="1" applyFill="1" applyBorder="1"/>
    <xf numFmtId="43" fontId="0" fillId="8" borderId="1" xfId="0" applyNumberFormat="1" applyFill="1" applyBorder="1"/>
    <xf numFmtId="164" fontId="2" fillId="8" borderId="1" xfId="1" applyNumberFormat="1" applyFont="1" applyFill="1" applyBorder="1"/>
    <xf numFmtId="0" fontId="0" fillId="6" borderId="1" xfId="0" applyFill="1" applyBorder="1"/>
    <xf numFmtId="164" fontId="0" fillId="6" borderId="1" xfId="1" applyNumberFormat="1" applyFont="1" applyFill="1" applyBorder="1"/>
    <xf numFmtId="164" fontId="2" fillId="6" borderId="1" xfId="0" applyNumberFormat="1" applyFont="1" applyFill="1" applyBorder="1"/>
    <xf numFmtId="43" fontId="0" fillId="6" borderId="1" xfId="0" applyNumberFormat="1" applyFill="1" applyBorder="1"/>
    <xf numFmtId="0" fontId="0" fillId="9" borderId="1" xfId="0" applyFill="1" applyBorder="1"/>
    <xf numFmtId="164" fontId="0" fillId="9" borderId="1" xfId="1" applyNumberFormat="1" applyFont="1" applyFill="1" applyBorder="1"/>
    <xf numFmtId="164" fontId="2" fillId="9" borderId="1" xfId="0" applyNumberFormat="1" applyFont="1" applyFill="1" applyBorder="1"/>
    <xf numFmtId="43" fontId="0" fillId="9" borderId="1" xfId="0" applyNumberFormat="1" applyFill="1" applyBorder="1"/>
    <xf numFmtId="0" fontId="2" fillId="0" borderId="1" xfId="0" applyFont="1" applyBorder="1"/>
    <xf numFmtId="10" fontId="0" fillId="0" borderId="1" xfId="2" applyNumberFormat="1" applyFont="1" applyBorder="1"/>
    <xf numFmtId="164" fontId="0" fillId="0" borderId="1" xfId="0" applyNumberFormat="1" applyBorder="1"/>
    <xf numFmtId="0" fontId="0" fillId="7" borderId="1" xfId="0" applyFill="1" applyBorder="1"/>
    <xf numFmtId="2" fontId="0" fillId="0" borderId="1" xfId="2" applyNumberFormat="1" applyFont="1" applyBorder="1"/>
    <xf numFmtId="0" fontId="7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3" fillId="3" borderId="1" xfId="0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vertical="top" wrapText="1"/>
    </xf>
    <xf numFmtId="9" fontId="0" fillId="0" borderId="1" xfId="0" applyNumberFormat="1" applyBorder="1"/>
    <xf numFmtId="0" fontId="15" fillId="0" borderId="1" xfId="0" applyFont="1" applyBorder="1"/>
    <xf numFmtId="0" fontId="16" fillId="3" borderId="1" xfId="0" applyFont="1" applyFill="1" applyBorder="1" applyAlignment="1">
      <alignment horizontal="right" vertical="top" wrapText="1"/>
    </xf>
    <xf numFmtId="0" fontId="17" fillId="3" borderId="1" xfId="0" applyFont="1" applyFill="1" applyBorder="1" applyAlignment="1">
      <alignment horizontal="right" vertical="top" wrapText="1"/>
    </xf>
    <xf numFmtId="0" fontId="18" fillId="0" borderId="1" xfId="0" applyFont="1" applyBorder="1"/>
    <xf numFmtId="0" fontId="4" fillId="3" borderId="1" xfId="0" applyFont="1" applyFill="1" applyBorder="1" applyAlignment="1">
      <alignment horizontal="right" vertical="top" wrapText="1"/>
    </xf>
    <xf numFmtId="9" fontId="4" fillId="3" borderId="1" xfId="2" applyFont="1" applyFill="1" applyBorder="1" applyAlignment="1">
      <alignment horizontal="right" vertical="top" wrapText="1"/>
    </xf>
    <xf numFmtId="165" fontId="4" fillId="3" borderId="1" xfId="2" applyNumberFormat="1" applyFont="1" applyFill="1" applyBorder="1" applyAlignment="1">
      <alignment horizontal="right" vertical="top" wrapText="1"/>
    </xf>
    <xf numFmtId="167" fontId="4" fillId="3" borderId="1" xfId="2" applyNumberFormat="1" applyFont="1" applyFill="1" applyBorder="1" applyAlignment="1">
      <alignment horizontal="right" vertical="top" wrapText="1"/>
    </xf>
    <xf numFmtId="2" fontId="4" fillId="3" borderId="1" xfId="2" applyNumberFormat="1" applyFont="1" applyFill="1" applyBorder="1" applyAlignment="1">
      <alignment horizontal="right" vertical="top" wrapText="1"/>
    </xf>
    <xf numFmtId="166" fontId="4" fillId="3" borderId="1" xfId="2" applyNumberFormat="1" applyFont="1" applyFill="1" applyBorder="1" applyAlignment="1">
      <alignment horizontal="right" vertical="top" wrapText="1"/>
    </xf>
    <xf numFmtId="2" fontId="4" fillId="3" borderId="1" xfId="2" applyNumberFormat="1" applyFont="1" applyFill="1" applyBorder="1" applyAlignment="1">
      <alignment horizontal="right" vertical="top"/>
    </xf>
    <xf numFmtId="0" fontId="2" fillId="8" borderId="1" xfId="0" applyFont="1" applyFill="1" applyBorder="1"/>
    <xf numFmtId="0" fontId="20" fillId="10" borderId="1" xfId="0" applyFont="1" applyFill="1" applyBorder="1"/>
    <xf numFmtId="0" fontId="20" fillId="11" borderId="1" xfId="0" applyFont="1" applyFill="1" applyBorder="1"/>
    <xf numFmtId="164" fontId="0" fillId="6" borderId="1" xfId="0" applyNumberFormat="1" applyFill="1" applyBorder="1"/>
    <xf numFmtId="0" fontId="2" fillId="6" borderId="1" xfId="0" applyFont="1" applyFill="1" applyBorder="1"/>
    <xf numFmtId="0" fontId="2" fillId="12" borderId="1" xfId="0" applyFont="1" applyFill="1" applyBorder="1"/>
    <xf numFmtId="43" fontId="2" fillId="12" borderId="1" xfId="0" applyNumberFormat="1" applyFont="1" applyFill="1" applyBorder="1"/>
    <xf numFmtId="0" fontId="2" fillId="5" borderId="1" xfId="0" applyFont="1" applyFill="1" applyBorder="1"/>
    <xf numFmtId="9" fontId="2" fillId="5" borderId="1" xfId="2" applyFont="1" applyFill="1" applyBorder="1"/>
    <xf numFmtId="0" fontId="19" fillId="5" borderId="5" xfId="0" applyFont="1" applyFill="1" applyBorder="1" applyAlignment="1">
      <alignment horizontal="center"/>
    </xf>
    <xf numFmtId="0" fontId="0" fillId="5" borderId="6" xfId="0" applyFill="1" applyBorder="1"/>
    <xf numFmtId="0" fontId="0" fillId="12" borderId="0" xfId="0" applyFill="1"/>
    <xf numFmtId="0" fontId="2" fillId="13" borderId="1" xfId="0" applyFont="1" applyFill="1" applyBorder="1"/>
    <xf numFmtId="0" fontId="2" fillId="13" borderId="1" xfId="0" applyFont="1" applyFill="1" applyBorder="1" applyAlignment="1">
      <alignment wrapText="1"/>
    </xf>
    <xf numFmtId="43" fontId="2" fillId="13" borderId="1" xfId="0" applyNumberFormat="1" applyFont="1" applyFill="1" applyBorder="1"/>
    <xf numFmtId="43" fontId="2" fillId="12" borderId="0" xfId="0" applyNumberFormat="1" applyFont="1" applyFill="1"/>
    <xf numFmtId="164" fontId="2" fillId="13" borderId="1" xfId="0" applyNumberFormat="1" applyFont="1" applyFill="1" applyBorder="1"/>
    <xf numFmtId="0" fontId="0" fillId="13" borderId="1" xfId="0" applyFill="1" applyBorder="1"/>
    <xf numFmtId="0" fontId="0" fillId="14" borderId="1" xfId="0" applyFill="1" applyBorder="1"/>
    <xf numFmtId="0" fontId="2" fillId="14" borderId="1" xfId="0" applyFont="1" applyFill="1" applyBorder="1"/>
    <xf numFmtId="164" fontId="0" fillId="14" borderId="1" xfId="1" applyNumberFormat="1" applyFont="1" applyFill="1" applyBorder="1"/>
    <xf numFmtId="164" fontId="2" fillId="14" borderId="1" xfId="1" applyNumberFormat="1" applyFont="1" applyFill="1" applyBorder="1"/>
    <xf numFmtId="0" fontId="0" fillId="16" borderId="1" xfId="0" applyFill="1" applyBorder="1"/>
    <xf numFmtId="164" fontId="0" fillId="16" borderId="1" xfId="1" applyNumberFormat="1" applyFont="1" applyFill="1" applyBorder="1"/>
    <xf numFmtId="10" fontId="2" fillId="16" borderId="1" xfId="2" applyNumberFormat="1" applyFont="1" applyFill="1" applyBorder="1"/>
    <xf numFmtId="0" fontId="20" fillId="17" borderId="1" xfId="0" applyFont="1" applyFill="1" applyBorder="1"/>
    <xf numFmtId="0" fontId="2" fillId="18" borderId="1" xfId="0" applyFont="1" applyFill="1" applyBorder="1"/>
    <xf numFmtId="167" fontId="2" fillId="18" borderId="1" xfId="0" applyNumberFormat="1" applyFont="1" applyFill="1" applyBorder="1"/>
    <xf numFmtId="165" fontId="2" fillId="18" borderId="1" xfId="2" applyNumberFormat="1" applyFont="1" applyFill="1" applyBorder="1"/>
    <xf numFmtId="2" fontId="2" fillId="18" borderId="1" xfId="0" applyNumberFormat="1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164" fontId="0" fillId="12" borderId="0" xfId="0" applyNumberFormat="1" applyFill="1"/>
    <xf numFmtId="164" fontId="2" fillId="12" borderId="0" xfId="0" applyNumberFormat="1" applyFont="1" applyFill="1"/>
    <xf numFmtId="0" fontId="0" fillId="12" borderId="0" xfId="0" applyFill="1" applyAlignment="1">
      <alignment wrapText="1"/>
    </xf>
    <xf numFmtId="43" fontId="0" fillId="12" borderId="0" xfId="0" applyNumberFormat="1" applyFill="1"/>
    <xf numFmtId="0" fontId="2" fillId="12" borderId="0" xfId="0" applyFont="1" applyFill="1" applyAlignment="1">
      <alignment horizontal="center"/>
    </xf>
    <xf numFmtId="0" fontId="2" fillId="12" borderId="0" xfId="0" applyFont="1" applyFill="1" applyAlignment="1">
      <alignment wrapText="1"/>
    </xf>
    <xf numFmtId="164" fontId="0" fillId="0" borderId="1" xfId="1" applyNumberFormat="1" applyFont="1" applyBorder="1" applyProtection="1"/>
    <xf numFmtId="16" fontId="0" fillId="0" borderId="1" xfId="0" applyNumberFormat="1" applyBorder="1" applyAlignment="1">
      <alignment horizontal="center"/>
    </xf>
    <xf numFmtId="164" fontId="2" fillId="2" borderId="1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 applyProtection="1">
      <alignment horizontal="left" vertical="top" wrapText="1"/>
      <protection locked="0"/>
    </xf>
    <xf numFmtId="0" fontId="0" fillId="7" borderId="1" xfId="0" applyFill="1" applyBorder="1" applyProtection="1">
      <protection locked="0"/>
    </xf>
    <xf numFmtId="10" fontId="0" fillId="2" borderId="1" xfId="2" applyNumberFormat="1" applyFont="1" applyFill="1" applyBorder="1" applyProtection="1">
      <protection locked="0"/>
    </xf>
    <xf numFmtId="164" fontId="0" fillId="0" borderId="1" xfId="1" applyNumberFormat="1" applyFont="1" applyFill="1" applyBorder="1"/>
    <xf numFmtId="9" fontId="0" fillId="8" borderId="1" xfId="2" applyFont="1" applyFill="1" applyBorder="1" applyProtection="1">
      <protection locked="0"/>
    </xf>
    <xf numFmtId="9" fontId="0" fillId="6" borderId="1" xfId="2" applyFont="1" applyFill="1" applyBorder="1" applyProtection="1">
      <protection locked="0"/>
    </xf>
    <xf numFmtId="9" fontId="0" fillId="9" borderId="1" xfId="2" applyFon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9" fillId="3" borderId="2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164" fontId="0" fillId="0" borderId="0" xfId="0" applyNumberFormat="1"/>
    <xf numFmtId="1" fontId="0" fillId="0" borderId="0" xfId="0" applyNumberFormat="1"/>
    <xf numFmtId="43" fontId="2" fillId="0" borderId="0" xfId="0" applyNumberFormat="1" applyFont="1"/>
    <xf numFmtId="0" fontId="23" fillId="0" borderId="0" xfId="0" applyFont="1"/>
    <xf numFmtId="1" fontId="0" fillId="2" borderId="1" xfId="0" applyNumberFormat="1" applyFill="1" applyBorder="1"/>
    <xf numFmtId="43" fontId="0" fillId="2" borderId="1" xfId="0" applyNumberFormat="1" applyFill="1" applyBorder="1" applyAlignment="1">
      <alignment horizontal="right" indent="2"/>
    </xf>
    <xf numFmtId="164" fontId="0" fillId="2" borderId="1" xfId="1" applyNumberFormat="1" applyFont="1" applyFill="1" applyBorder="1" applyAlignment="1">
      <alignment horizontal="right" indent="2"/>
    </xf>
    <xf numFmtId="0" fontId="20" fillId="11" borderId="1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0" fontId="19" fillId="13" borderId="1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4" fillId="2" borderId="1" xfId="2" applyNumberFormat="1" applyFont="1" applyFill="1" applyBorder="1" applyAlignment="1" applyProtection="1">
      <alignment horizontal="right" vertical="top" wrapText="1"/>
      <protection locked="0"/>
    </xf>
    <xf numFmtId="9" fontId="4" fillId="2" borderId="1" xfId="2" applyFont="1" applyFill="1" applyBorder="1" applyAlignment="1" applyProtection="1">
      <alignment horizontal="right" vertical="top" wrapText="1"/>
      <protection locked="0"/>
    </xf>
    <xf numFmtId="0" fontId="25" fillId="0" borderId="1" xfId="0" applyFont="1" applyBorder="1"/>
    <xf numFmtId="0" fontId="25" fillId="0" borderId="0" xfId="0" applyFont="1"/>
    <xf numFmtId="164" fontId="2" fillId="0" borderId="1" xfId="0" applyNumberFormat="1" applyFont="1" applyBorder="1"/>
    <xf numFmtId="0" fontId="9" fillId="3" borderId="3" xfId="0" applyFont="1" applyFill="1" applyBorder="1" applyAlignment="1">
      <alignment horizontal="right" vertical="top" wrapText="1"/>
    </xf>
    <xf numFmtId="0" fontId="2" fillId="9" borderId="1" xfId="0" applyFont="1" applyFill="1" applyBorder="1"/>
    <xf numFmtId="0" fontId="2" fillId="0" borderId="0" xfId="0" applyFont="1" applyAlignment="1">
      <alignment textRotation="90"/>
    </xf>
    <xf numFmtId="0" fontId="0" fillId="0" borderId="0" xfId="0" applyAlignment="1">
      <alignment textRotation="90"/>
    </xf>
    <xf numFmtId="0" fontId="29" fillId="3" borderId="0" xfId="0" applyFont="1" applyFill="1" applyAlignment="1">
      <alignment horizontal="left" vertical="top" textRotation="90" wrapText="1"/>
    </xf>
    <xf numFmtId="0" fontId="2" fillId="8" borderId="1" xfId="0" applyFont="1" applyFill="1" applyBorder="1" applyAlignment="1">
      <alignment textRotation="90"/>
    </xf>
    <xf numFmtId="0" fontId="0" fillId="8" borderId="1" xfId="0" applyFill="1" applyBorder="1" applyAlignment="1">
      <alignment textRotation="90"/>
    </xf>
    <xf numFmtId="0" fontId="2" fillId="5" borderId="1" xfId="0" applyFont="1" applyFill="1" applyBorder="1" applyAlignment="1">
      <alignment textRotation="90"/>
    </xf>
    <xf numFmtId="0" fontId="2" fillId="5" borderId="5" xfId="0" applyFont="1" applyFill="1" applyBorder="1" applyAlignment="1">
      <alignment textRotation="90"/>
    </xf>
    <xf numFmtId="0" fontId="0" fillId="2" borderId="1" xfId="0" applyFill="1" applyBorder="1" applyAlignment="1">
      <alignment textRotation="90"/>
    </xf>
    <xf numFmtId="0" fontId="0" fillId="2" borderId="1" xfId="0" applyFill="1" applyBorder="1" applyAlignment="1">
      <alignment textRotation="90" wrapText="1"/>
    </xf>
    <xf numFmtId="0" fontId="0" fillId="6" borderId="1" xfId="0" applyFill="1" applyBorder="1" applyAlignment="1">
      <alignment textRotation="90"/>
    </xf>
    <xf numFmtId="0" fontId="2" fillId="6" borderId="1" xfId="0" applyFont="1" applyFill="1" applyBorder="1" applyAlignment="1">
      <alignment textRotation="90"/>
    </xf>
    <xf numFmtId="0" fontId="2" fillId="12" borderId="1" xfId="0" applyFont="1" applyFill="1" applyBorder="1" applyAlignment="1">
      <alignment textRotation="90"/>
    </xf>
    <xf numFmtId="0" fontId="2" fillId="13" borderId="1" xfId="0" applyFont="1" applyFill="1" applyBorder="1" applyAlignment="1">
      <alignment textRotation="90" wrapText="1"/>
    </xf>
    <xf numFmtId="0" fontId="2" fillId="13" borderId="1" xfId="0" applyFont="1" applyFill="1" applyBorder="1" applyAlignment="1">
      <alignment textRotation="90"/>
    </xf>
    <xf numFmtId="0" fontId="2" fillId="14" borderId="1" xfId="0" applyFont="1" applyFill="1" applyBorder="1" applyAlignment="1">
      <alignment textRotation="90"/>
    </xf>
    <xf numFmtId="0" fontId="0" fillId="16" borderId="1" xfId="0" applyFill="1" applyBorder="1" applyAlignment="1">
      <alignment textRotation="90"/>
    </xf>
    <xf numFmtId="0" fontId="0" fillId="13" borderId="1" xfId="0" applyFill="1" applyBorder="1" applyAlignment="1">
      <alignment textRotation="90"/>
    </xf>
    <xf numFmtId="0" fontId="2" fillId="18" borderId="1" xfId="0" applyFont="1" applyFill="1" applyBorder="1" applyAlignment="1">
      <alignment textRotation="90"/>
    </xf>
    <xf numFmtId="9" fontId="0" fillId="0" borderId="0" xfId="0" applyNumberFormat="1"/>
    <xf numFmtId="10" fontId="0" fillId="0" borderId="0" xfId="0" applyNumberFormat="1"/>
    <xf numFmtId="2" fontId="0" fillId="0" borderId="0" xfId="0" applyNumberFormat="1"/>
    <xf numFmtId="0" fontId="3" fillId="0" borderId="0" xfId="0" applyFont="1" applyAlignment="1">
      <alignment wrapText="1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4" fillId="3" borderId="1" xfId="0" applyNumberFormat="1" applyFont="1" applyFill="1" applyBorder="1" applyAlignment="1">
      <alignment horizontal="right" vertical="top" wrapText="1"/>
    </xf>
    <xf numFmtId="2" fontId="0" fillId="0" borderId="1" xfId="0" applyNumberFormat="1" applyBorder="1"/>
    <xf numFmtId="0" fontId="31" fillId="0" borderId="1" xfId="0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0" fillId="15" borderId="2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0</xdr:row>
      <xdr:rowOff>95250</xdr:rowOff>
    </xdr:from>
    <xdr:to>
      <xdr:col>17</xdr:col>
      <xdr:colOff>304800</xdr:colOff>
      <xdr:row>8</xdr:row>
      <xdr:rowOff>75144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273875-0CEB-75E0-E086-446D40AF2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95250"/>
          <a:ext cx="4324350" cy="158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D72D-8E48-49AE-A1BD-E42145A53CC3}">
  <dimension ref="B3:I23"/>
  <sheetViews>
    <sheetView tabSelected="1" workbookViewId="0">
      <selection activeCell="C8" sqref="C8"/>
    </sheetView>
  </sheetViews>
  <sheetFormatPr defaultRowHeight="15" x14ac:dyDescent="0.25"/>
  <sheetData>
    <row r="3" spans="2:9" ht="21" x14ac:dyDescent="0.35">
      <c r="B3" s="156" t="s">
        <v>0</v>
      </c>
      <c r="C3" s="156"/>
      <c r="D3" s="156"/>
      <c r="E3" s="156"/>
      <c r="F3" s="156"/>
      <c r="G3" s="156"/>
      <c r="H3" s="156"/>
      <c r="I3" s="156"/>
    </row>
    <row r="9" spans="2:9" x14ac:dyDescent="0.25">
      <c r="B9" t="s">
        <v>1</v>
      </c>
    </row>
    <row r="11" spans="2:9" x14ac:dyDescent="0.25">
      <c r="B11" t="s">
        <v>254</v>
      </c>
    </row>
    <row r="12" spans="2:9" x14ac:dyDescent="0.25">
      <c r="B12">
        <v>1</v>
      </c>
      <c r="C12" t="s">
        <v>2</v>
      </c>
    </row>
    <row r="13" spans="2:9" x14ac:dyDescent="0.25">
      <c r="B13">
        <v>2</v>
      </c>
      <c r="C13" t="s">
        <v>3</v>
      </c>
    </row>
    <row r="14" spans="2:9" x14ac:dyDescent="0.25">
      <c r="B14">
        <v>3</v>
      </c>
      <c r="C14" t="s">
        <v>4</v>
      </c>
    </row>
    <row r="15" spans="2:9" x14ac:dyDescent="0.25">
      <c r="B15">
        <v>4</v>
      </c>
      <c r="C15" t="s">
        <v>5</v>
      </c>
    </row>
    <row r="17" spans="2:3" x14ac:dyDescent="0.25">
      <c r="B17" t="s">
        <v>6</v>
      </c>
    </row>
    <row r="18" spans="2:3" x14ac:dyDescent="0.25">
      <c r="C18" t="s">
        <v>7</v>
      </c>
    </row>
    <row r="19" spans="2:3" x14ac:dyDescent="0.25">
      <c r="C19" t="s">
        <v>8</v>
      </c>
    </row>
    <row r="20" spans="2:3" x14ac:dyDescent="0.25">
      <c r="C20" t="s">
        <v>9</v>
      </c>
    </row>
    <row r="23" spans="2:3" x14ac:dyDescent="0.25">
      <c r="B23" t="s">
        <v>10</v>
      </c>
    </row>
  </sheetData>
  <sheetProtection algorithmName="SHA-512" hashValue="BuWZTtpykrYaYiI+isIDE5lO+ZYuqcGRi+IuedsqBUUQlMkcaOtIHyp4GIRQAOThKK1mHgGkuqeNpSP79JvM9g==" saltValue="pLP5wlqPBO9gC7yyIQYvSA==" spinCount="100000" sheet="1" objects="1" scenarios="1"/>
  <mergeCells count="1">
    <mergeCell ref="B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326F-A39E-458B-9005-6BC3DBA95241}">
  <dimension ref="A1:U90"/>
  <sheetViews>
    <sheetView workbookViewId="0">
      <selection activeCell="B7" sqref="B7"/>
    </sheetView>
  </sheetViews>
  <sheetFormatPr defaultRowHeight="15" x14ac:dyDescent="0.25"/>
  <cols>
    <col min="1" max="1" width="23.5703125" customWidth="1"/>
    <col min="2" max="2" width="11.5703125" bestFit="1" customWidth="1"/>
    <col min="4" max="6" width="10.5703125" bestFit="1" customWidth="1"/>
    <col min="7" max="7" width="9.5703125" bestFit="1" customWidth="1"/>
    <col min="8" max="8" width="9.28515625" bestFit="1" customWidth="1"/>
    <col min="10" max="10" width="9.140625" customWidth="1"/>
    <col min="11" max="11" width="19.85546875" customWidth="1"/>
    <col min="12" max="12" width="18" customWidth="1"/>
    <col min="13" max="13" width="10.140625" customWidth="1"/>
    <col min="17" max="17" width="21.85546875" customWidth="1"/>
    <col min="18" max="18" width="11.42578125" customWidth="1"/>
  </cols>
  <sheetData>
    <row r="1" spans="1:21" x14ac:dyDescent="0.25">
      <c r="A1" s="13" t="s">
        <v>11</v>
      </c>
    </row>
    <row r="3" spans="1:21" ht="60" x14ac:dyDescent="0.25">
      <c r="D3" s="5" t="s">
        <v>12</v>
      </c>
      <c r="E3" s="5" t="s">
        <v>13</v>
      </c>
      <c r="F3" s="5" t="s">
        <v>14</v>
      </c>
      <c r="G3" s="5" t="s">
        <v>15</v>
      </c>
      <c r="I3" s="5" t="s">
        <v>16</v>
      </c>
      <c r="J3" s="5" t="s">
        <v>17</v>
      </c>
      <c r="K3" s="5" t="s">
        <v>18</v>
      </c>
      <c r="L3" s="5" t="s">
        <v>19</v>
      </c>
      <c r="M3" s="5" t="s">
        <v>20</v>
      </c>
    </row>
    <row r="4" spans="1:21" ht="30" x14ac:dyDescent="0.25">
      <c r="A4" s="10" t="s">
        <v>21</v>
      </c>
      <c r="B4" s="105"/>
      <c r="D4" s="104">
        <v>0.5</v>
      </c>
      <c r="E4" s="104">
        <v>0.5</v>
      </c>
      <c r="F4" s="104">
        <v>0</v>
      </c>
      <c r="G4" s="39">
        <f>D4+E4+F4</f>
        <v>1</v>
      </c>
      <c r="I4" s="12">
        <f>B4*150</f>
        <v>0</v>
      </c>
      <c r="J4" s="12">
        <f>B4*170</f>
        <v>0</v>
      </c>
      <c r="K4" s="12">
        <f>B4*250</f>
        <v>0</v>
      </c>
      <c r="L4" s="12">
        <f>B4*10</f>
        <v>0</v>
      </c>
      <c r="M4" s="12">
        <f>B4*8</f>
        <v>0</v>
      </c>
    </row>
    <row r="5" spans="1:21" x14ac:dyDescent="0.25">
      <c r="D5" s="4">
        <f>B4*D4</f>
        <v>0</v>
      </c>
      <c r="E5" s="4">
        <f>E4*B4</f>
        <v>0</v>
      </c>
      <c r="F5" s="4">
        <f>F4*B4</f>
        <v>0</v>
      </c>
      <c r="G5" s="9" t="str">
        <f>IF(G4=1,"OK","Error")</f>
        <v>OK</v>
      </c>
    </row>
    <row r="7" spans="1:21" ht="30" x14ac:dyDescent="0.25">
      <c r="A7" s="10" t="s">
        <v>22</v>
      </c>
      <c r="B7" s="91"/>
      <c r="D7" s="10" t="s">
        <v>23</v>
      </c>
      <c r="E7" s="29">
        <f>IF(B12=0,0,B7/B12)</f>
        <v>0</v>
      </c>
    </row>
    <row r="10" spans="1:21" x14ac:dyDescent="0.25">
      <c r="A10" s="161" t="s">
        <v>24</v>
      </c>
      <c r="B10" s="161"/>
      <c r="C10" s="161"/>
      <c r="D10" s="161"/>
      <c r="E10" s="161"/>
      <c r="F10" s="161"/>
      <c r="G10" s="161"/>
      <c r="H10" s="161"/>
      <c r="J10" s="161" t="s">
        <v>25</v>
      </c>
      <c r="K10" s="161"/>
      <c r="L10" s="161"/>
      <c r="M10" s="161"/>
      <c r="N10" s="161"/>
      <c r="O10" s="161"/>
      <c r="Q10" s="157" t="s">
        <v>26</v>
      </c>
      <c r="R10" s="158"/>
      <c r="S10" s="158"/>
      <c r="T10" s="158"/>
      <c r="U10" s="159"/>
    </row>
    <row r="11" spans="1:21" ht="75" x14ac:dyDescent="0.25">
      <c r="A11" s="4"/>
      <c r="B11" s="10" t="s">
        <v>27</v>
      </c>
      <c r="C11" s="10" t="s">
        <v>28</v>
      </c>
      <c r="D11" s="10" t="s">
        <v>29</v>
      </c>
      <c r="E11" s="10" t="s">
        <v>30</v>
      </c>
      <c r="F11" s="10" t="s">
        <v>31</v>
      </c>
      <c r="G11" s="10" t="s">
        <v>32</v>
      </c>
      <c r="H11" s="10" t="s">
        <v>33</v>
      </c>
      <c r="J11" s="170" t="s">
        <v>34</v>
      </c>
      <c r="K11" s="171"/>
      <c r="L11" s="172"/>
      <c r="M11" s="10" t="s">
        <v>27</v>
      </c>
      <c r="N11" s="10" t="s">
        <v>35</v>
      </c>
      <c r="O11" s="10" t="s">
        <v>36</v>
      </c>
      <c r="Q11" s="11" t="s">
        <v>34</v>
      </c>
      <c r="R11" s="155" t="s">
        <v>278</v>
      </c>
      <c r="S11" s="6" t="s">
        <v>37</v>
      </c>
      <c r="T11" s="10" t="s">
        <v>36</v>
      </c>
      <c r="U11" s="6" t="s">
        <v>38</v>
      </c>
    </row>
    <row r="12" spans="1:21" ht="24" x14ac:dyDescent="0.25">
      <c r="A12" s="4" t="s">
        <v>39</v>
      </c>
      <c r="B12" s="92"/>
      <c r="C12" s="4">
        <v>100</v>
      </c>
      <c r="D12" s="4">
        <f>IF(E7&lt;=6000,88,IF(E7&lt;=6500,92,IF(E7&lt;=7000,96,IF(E7&lt;=7500,100,IF(E7&lt;=8000,105,IF(E7&lt;=8500,109,IF(E7&lt;=9000,114,IF(E7&lt;=9500,118,IF(E7&lt;=10000,123,128)))))))))</f>
        <v>88</v>
      </c>
      <c r="E12" s="89">
        <f t="shared" ref="E12:E17" si="0">B12*C12</f>
        <v>0</v>
      </c>
      <c r="F12" s="89">
        <f t="shared" ref="F12:F17" si="1">B12*D12</f>
        <v>0</v>
      </c>
      <c r="G12" s="154">
        <v>1</v>
      </c>
      <c r="H12" s="4">
        <f>B12*G12</f>
        <v>0</v>
      </c>
      <c r="J12" s="163" t="s">
        <v>40</v>
      </c>
      <c r="K12" s="4" t="s">
        <v>41</v>
      </c>
      <c r="L12" s="4"/>
      <c r="M12" s="92"/>
      <c r="N12" s="154">
        <v>18</v>
      </c>
      <c r="O12" s="4">
        <f>M12*N12</f>
        <v>0</v>
      </c>
      <c r="Q12" s="7" t="s">
        <v>42</v>
      </c>
      <c r="R12" s="95"/>
      <c r="S12" s="153">
        <v>33.799999999999997</v>
      </c>
      <c r="T12" s="7">
        <f>R12*S12</f>
        <v>0</v>
      </c>
      <c r="U12" s="153">
        <v>7</v>
      </c>
    </row>
    <row r="13" spans="1:21" x14ac:dyDescent="0.25">
      <c r="A13" s="4" t="s">
        <v>43</v>
      </c>
      <c r="B13" s="92"/>
      <c r="C13" s="4">
        <v>52</v>
      </c>
      <c r="D13" s="4">
        <v>52</v>
      </c>
      <c r="E13" s="89">
        <f t="shared" si="0"/>
        <v>0</v>
      </c>
      <c r="F13" s="89">
        <f t="shared" si="1"/>
        <v>0</v>
      </c>
      <c r="G13" s="154">
        <v>0.8</v>
      </c>
      <c r="H13" s="4">
        <f t="shared" ref="H13:H21" si="2">B13*G13</f>
        <v>0</v>
      </c>
      <c r="J13" s="163"/>
      <c r="K13" s="4" t="s">
        <v>44</v>
      </c>
      <c r="L13" s="4"/>
      <c r="M13" s="92"/>
      <c r="N13" s="154">
        <v>11</v>
      </c>
      <c r="O13" s="4">
        <f>M13*N13</f>
        <v>0</v>
      </c>
      <c r="Q13" s="7" t="s">
        <v>45</v>
      </c>
      <c r="R13" s="95"/>
      <c r="S13" s="153">
        <v>40</v>
      </c>
      <c r="T13" s="7">
        <f t="shared" ref="T13:T24" si="3">R13*S13</f>
        <v>0</v>
      </c>
      <c r="U13" s="153">
        <v>8.4</v>
      </c>
    </row>
    <row r="14" spans="1:21" x14ac:dyDescent="0.25">
      <c r="A14" s="4" t="s">
        <v>46</v>
      </c>
      <c r="B14" s="92"/>
      <c r="C14" s="4">
        <v>52</v>
      </c>
      <c r="D14" s="4">
        <v>52</v>
      </c>
      <c r="E14" s="89">
        <f t="shared" si="0"/>
        <v>0</v>
      </c>
      <c r="F14" s="89">
        <f t="shared" si="1"/>
        <v>0</v>
      </c>
      <c r="G14" s="154">
        <v>0.8</v>
      </c>
      <c r="H14" s="4">
        <f t="shared" si="2"/>
        <v>0</v>
      </c>
      <c r="J14" s="163"/>
      <c r="K14" s="4" t="s">
        <v>47</v>
      </c>
      <c r="L14" s="4"/>
      <c r="M14" s="92"/>
      <c r="N14" s="154">
        <v>16</v>
      </c>
      <c r="O14" s="4">
        <f>M14*N14</f>
        <v>0</v>
      </c>
      <c r="Q14" s="7" t="s">
        <v>48</v>
      </c>
      <c r="R14" s="95"/>
      <c r="S14" s="153">
        <v>44.9</v>
      </c>
      <c r="T14" s="7">
        <f t="shared" si="3"/>
        <v>0</v>
      </c>
      <c r="U14" s="153">
        <v>11.4</v>
      </c>
    </row>
    <row r="15" spans="1:21" x14ac:dyDescent="0.25">
      <c r="A15" s="4" t="s">
        <v>49</v>
      </c>
      <c r="B15" s="92"/>
      <c r="C15" s="4">
        <v>45</v>
      </c>
      <c r="D15" s="4">
        <v>45</v>
      </c>
      <c r="E15" s="89">
        <f t="shared" si="0"/>
        <v>0</v>
      </c>
      <c r="F15" s="89">
        <f t="shared" si="1"/>
        <v>0</v>
      </c>
      <c r="G15" s="154">
        <v>0.8</v>
      </c>
      <c r="H15" s="4">
        <f t="shared" si="2"/>
        <v>0</v>
      </c>
      <c r="J15" s="4"/>
      <c r="K15" s="162" t="s">
        <v>50</v>
      </c>
      <c r="L15" s="162" t="s">
        <v>51</v>
      </c>
      <c r="M15" s="93"/>
      <c r="N15" s="154"/>
      <c r="O15" s="4"/>
      <c r="Q15" s="7" t="s">
        <v>52</v>
      </c>
      <c r="R15" s="95"/>
      <c r="S15" s="153">
        <v>229</v>
      </c>
      <c r="T15" s="7">
        <f t="shared" si="3"/>
        <v>0</v>
      </c>
      <c r="U15" s="153">
        <v>55</v>
      </c>
    </row>
    <row r="16" spans="1:21" x14ac:dyDescent="0.25">
      <c r="A16" s="4" t="s">
        <v>53</v>
      </c>
      <c r="B16" s="92"/>
      <c r="C16" s="4">
        <v>39</v>
      </c>
      <c r="D16" s="4">
        <v>39</v>
      </c>
      <c r="E16" s="89">
        <f t="shared" si="0"/>
        <v>0</v>
      </c>
      <c r="F16" s="89">
        <f t="shared" si="1"/>
        <v>0</v>
      </c>
      <c r="G16" s="154">
        <v>0.6</v>
      </c>
      <c r="H16" s="4">
        <f t="shared" si="2"/>
        <v>0</v>
      </c>
      <c r="J16" s="4"/>
      <c r="K16" s="162"/>
      <c r="L16" s="162"/>
      <c r="M16" s="93"/>
      <c r="N16" s="154"/>
      <c r="O16" s="4"/>
      <c r="Q16" s="7" t="s">
        <v>54</v>
      </c>
      <c r="R16" s="95"/>
      <c r="S16" s="153">
        <v>305</v>
      </c>
      <c r="T16" s="7">
        <f t="shared" si="3"/>
        <v>0</v>
      </c>
      <c r="U16" s="153">
        <v>73.8</v>
      </c>
    </row>
    <row r="17" spans="1:21" x14ac:dyDescent="0.25">
      <c r="A17" s="4" t="s">
        <v>55</v>
      </c>
      <c r="B17" s="92"/>
      <c r="C17" s="4">
        <v>30</v>
      </c>
      <c r="D17" s="4">
        <v>30</v>
      </c>
      <c r="E17" s="89">
        <f t="shared" si="0"/>
        <v>0</v>
      </c>
      <c r="F17" s="89">
        <f t="shared" si="1"/>
        <v>0</v>
      </c>
      <c r="G17" s="154">
        <v>0.4</v>
      </c>
      <c r="H17" s="4">
        <f t="shared" si="2"/>
        <v>0</v>
      </c>
      <c r="J17" s="164" t="s">
        <v>56</v>
      </c>
      <c r="K17" s="90" t="s">
        <v>57</v>
      </c>
      <c r="L17" s="9" t="s">
        <v>58</v>
      </c>
      <c r="M17" s="94"/>
      <c r="N17" s="154">
        <v>0.09</v>
      </c>
      <c r="O17" s="4">
        <f t="shared" ref="O17:O22" si="4">M17*N17</f>
        <v>0</v>
      </c>
      <c r="Q17" s="7" t="s">
        <v>59</v>
      </c>
      <c r="R17" s="95"/>
      <c r="S17" s="153">
        <v>534</v>
      </c>
      <c r="T17" s="7">
        <f t="shared" si="3"/>
        <v>0</v>
      </c>
      <c r="U17" s="153">
        <v>129</v>
      </c>
    </row>
    <row r="18" spans="1:21" x14ac:dyDescent="0.25">
      <c r="A18" s="4" t="s">
        <v>63</v>
      </c>
      <c r="B18" s="92"/>
      <c r="C18" s="4">
        <v>19</v>
      </c>
      <c r="D18" s="4">
        <v>19</v>
      </c>
      <c r="E18" s="89">
        <f t="shared" ref="E18:E21" si="5">B18*C18</f>
        <v>0</v>
      </c>
      <c r="F18" s="89">
        <f t="shared" ref="F18:F21" si="6">B18*D18</f>
        <v>0</v>
      </c>
      <c r="G18" s="154">
        <v>0.4</v>
      </c>
      <c r="H18" s="4">
        <f t="shared" si="2"/>
        <v>0</v>
      </c>
      <c r="J18" s="164"/>
      <c r="K18" s="90" t="s">
        <v>57</v>
      </c>
      <c r="L18" s="9" t="s">
        <v>61</v>
      </c>
      <c r="M18" s="94"/>
      <c r="N18" s="154">
        <v>0.38</v>
      </c>
      <c r="O18" s="4">
        <f t="shared" si="4"/>
        <v>0</v>
      </c>
      <c r="Q18" s="7" t="s">
        <v>62</v>
      </c>
      <c r="R18" s="95"/>
      <c r="S18" s="153">
        <v>139</v>
      </c>
      <c r="T18" s="7">
        <f t="shared" si="3"/>
        <v>0</v>
      </c>
      <c r="U18" s="153">
        <v>65</v>
      </c>
    </row>
    <row r="19" spans="1:21" ht="24" x14ac:dyDescent="0.25">
      <c r="A19" s="4" t="s">
        <v>66</v>
      </c>
      <c r="B19" s="92"/>
      <c r="C19" s="4">
        <v>9</v>
      </c>
      <c r="D19" s="4">
        <v>9</v>
      </c>
      <c r="E19" s="89">
        <f t="shared" si="5"/>
        <v>0</v>
      </c>
      <c r="F19" s="89">
        <f t="shared" si="6"/>
        <v>0</v>
      </c>
      <c r="G19" s="154">
        <v>0.1</v>
      </c>
      <c r="H19" s="4">
        <f t="shared" si="2"/>
        <v>0</v>
      </c>
      <c r="J19" s="164"/>
      <c r="K19" s="90" t="s">
        <v>57</v>
      </c>
      <c r="L19" s="9" t="s">
        <v>64</v>
      </c>
      <c r="M19" s="94"/>
      <c r="N19" s="154">
        <v>2.38</v>
      </c>
      <c r="O19" s="4">
        <f t="shared" si="4"/>
        <v>0</v>
      </c>
      <c r="Q19" s="7" t="s">
        <v>65</v>
      </c>
      <c r="R19" s="95"/>
      <c r="S19" s="153">
        <v>150.80000000000001</v>
      </c>
      <c r="T19" s="7">
        <f t="shared" si="3"/>
        <v>0</v>
      </c>
      <c r="U19" s="153">
        <v>104</v>
      </c>
    </row>
    <row r="20" spans="1:21" ht="24" x14ac:dyDescent="0.25">
      <c r="A20" s="4" t="s">
        <v>69</v>
      </c>
      <c r="B20" s="92"/>
      <c r="C20" s="4">
        <v>9</v>
      </c>
      <c r="D20" s="4">
        <v>9</v>
      </c>
      <c r="E20" s="89">
        <f t="shared" si="5"/>
        <v>0</v>
      </c>
      <c r="F20" s="89">
        <f t="shared" si="6"/>
        <v>0</v>
      </c>
      <c r="G20" s="154">
        <v>0.08</v>
      </c>
      <c r="H20" s="4">
        <f t="shared" si="2"/>
        <v>0</v>
      </c>
      <c r="J20" s="164" t="s">
        <v>67</v>
      </c>
      <c r="K20" s="9">
        <v>18</v>
      </c>
      <c r="L20" s="9">
        <v>35</v>
      </c>
      <c r="M20" s="94"/>
      <c r="N20" s="154">
        <v>0.28999999999999998</v>
      </c>
      <c r="O20" s="4">
        <f t="shared" si="4"/>
        <v>0</v>
      </c>
      <c r="Q20" s="7" t="s">
        <v>68</v>
      </c>
      <c r="R20" s="95"/>
      <c r="S20" s="153">
        <v>374.4</v>
      </c>
      <c r="T20" s="7">
        <f t="shared" si="3"/>
        <v>0</v>
      </c>
      <c r="U20" s="153">
        <v>202.8</v>
      </c>
    </row>
    <row r="21" spans="1:21" ht="24" x14ac:dyDescent="0.25">
      <c r="A21" s="4" t="s">
        <v>239</v>
      </c>
      <c r="B21" s="92"/>
      <c r="C21" s="4">
        <v>4.4000000000000004</v>
      </c>
      <c r="D21" s="4">
        <v>4.4000000000000004</v>
      </c>
      <c r="E21" s="89">
        <f t="shared" si="5"/>
        <v>0</v>
      </c>
      <c r="F21" s="89">
        <f t="shared" si="6"/>
        <v>0</v>
      </c>
      <c r="G21" s="154">
        <v>0.04</v>
      </c>
      <c r="H21" s="4">
        <f t="shared" si="2"/>
        <v>0</v>
      </c>
      <c r="J21" s="164"/>
      <c r="K21" s="9">
        <v>18</v>
      </c>
      <c r="L21" s="9">
        <v>105</v>
      </c>
      <c r="M21" s="94"/>
      <c r="N21" s="154">
        <v>2.2999999999999998</v>
      </c>
      <c r="O21" s="4">
        <f t="shared" si="4"/>
        <v>0</v>
      </c>
      <c r="Q21" s="7" t="s">
        <v>70</v>
      </c>
      <c r="R21" s="95"/>
      <c r="S21" s="153">
        <v>306.8</v>
      </c>
      <c r="T21" s="7">
        <f t="shared" si="3"/>
        <v>0</v>
      </c>
      <c r="U21" s="153">
        <v>171.6</v>
      </c>
    </row>
    <row r="22" spans="1:21" x14ac:dyDescent="0.25">
      <c r="B22" s="13">
        <f>SUM(B12:B21)</f>
        <v>0</v>
      </c>
      <c r="J22" s="164"/>
      <c r="K22" s="9">
        <v>36</v>
      </c>
      <c r="L22" s="9">
        <v>105</v>
      </c>
      <c r="M22" s="94"/>
      <c r="N22" s="154">
        <v>2</v>
      </c>
      <c r="O22" s="4">
        <f t="shared" si="4"/>
        <v>0</v>
      </c>
      <c r="Q22" s="7" t="s">
        <v>71</v>
      </c>
      <c r="R22" s="95"/>
      <c r="S22" s="153">
        <v>244.4</v>
      </c>
      <c r="T22" s="7">
        <f t="shared" si="3"/>
        <v>0</v>
      </c>
      <c r="U22" s="153">
        <v>88.4</v>
      </c>
    </row>
    <row r="23" spans="1:21" x14ac:dyDescent="0.25">
      <c r="E23" s="2">
        <f>SUM(E12:E22)</f>
        <v>0</v>
      </c>
      <c r="F23" s="2">
        <f>SUM(F12:F22)</f>
        <v>0</v>
      </c>
      <c r="H23" s="2">
        <f>SUM(H12:H22)</f>
        <v>0</v>
      </c>
      <c r="Q23" s="7" t="s">
        <v>72</v>
      </c>
      <c r="R23" s="95"/>
      <c r="S23" s="153">
        <v>624</v>
      </c>
      <c r="T23" s="7">
        <f t="shared" si="3"/>
        <v>0</v>
      </c>
      <c r="U23" s="153">
        <v>209.2</v>
      </c>
    </row>
    <row r="24" spans="1:21" x14ac:dyDescent="0.25">
      <c r="B24" s="160" t="s">
        <v>74</v>
      </c>
      <c r="C24" s="160"/>
      <c r="D24" s="160"/>
      <c r="E24" s="3" t="e">
        <f>E23/B4</f>
        <v>#DIV/0!</v>
      </c>
      <c r="F24" s="3" t="e">
        <f>F23/B4</f>
        <v>#DIV/0!</v>
      </c>
      <c r="H24" s="3" t="e">
        <f>H23/B4</f>
        <v>#DIV/0!</v>
      </c>
      <c r="Q24" s="7" t="s">
        <v>73</v>
      </c>
      <c r="R24" s="95"/>
      <c r="S24" s="153">
        <v>280.8</v>
      </c>
      <c r="T24" s="7">
        <f t="shared" si="3"/>
        <v>0</v>
      </c>
      <c r="U24" s="153">
        <v>114.4</v>
      </c>
    </row>
    <row r="25" spans="1:21" x14ac:dyDescent="0.25">
      <c r="N25" s="2"/>
      <c r="O25" s="2"/>
    </row>
    <row r="26" spans="1:21" x14ac:dyDescent="0.25">
      <c r="A26" s="169" t="s">
        <v>277</v>
      </c>
      <c r="B26" s="169"/>
      <c r="C26" s="169"/>
      <c r="D26" s="169"/>
      <c r="E26" s="2">
        <f>E23+O26+T26</f>
        <v>0</v>
      </c>
      <c r="F26" s="2">
        <f>F23+O26+T26</f>
        <v>0</v>
      </c>
      <c r="O26" s="2">
        <f>SUM(O12:O25)</f>
        <v>0</v>
      </c>
      <c r="T26" s="2">
        <f>SUM(T12:T25)</f>
        <v>0</v>
      </c>
    </row>
    <row r="27" spans="1:21" x14ac:dyDescent="0.25">
      <c r="A27" s="169" t="s">
        <v>76</v>
      </c>
      <c r="B27" s="169"/>
      <c r="C27" s="169"/>
      <c r="D27" s="169"/>
      <c r="E27" s="3" t="e">
        <f>E26/B4</f>
        <v>#DIV/0!</v>
      </c>
      <c r="F27" s="3" t="e">
        <f>F26/B4</f>
        <v>#DIV/0!</v>
      </c>
      <c r="I27" t="s">
        <v>75</v>
      </c>
      <c r="O27" s="3" t="e">
        <f>O26/B4</f>
        <v>#DIV/0!</v>
      </c>
      <c r="T27" s="3" t="e">
        <f>T26/B4</f>
        <v>#DIV/0!</v>
      </c>
    </row>
    <row r="30" spans="1:21" ht="85.5" x14ac:dyDescent="0.25">
      <c r="A30" s="32" t="s">
        <v>77</v>
      </c>
      <c r="B30" s="32" t="s">
        <v>78</v>
      </c>
      <c r="C30" s="32" t="s">
        <v>79</v>
      </c>
      <c r="D30" s="32" t="s">
        <v>80</v>
      </c>
      <c r="E30" s="33" t="s">
        <v>81</v>
      </c>
      <c r="F30" s="33" t="s">
        <v>82</v>
      </c>
      <c r="G30" s="33" t="s">
        <v>83</v>
      </c>
      <c r="H30" s="33" t="s">
        <v>84</v>
      </c>
      <c r="I30" s="33" t="s">
        <v>85</v>
      </c>
      <c r="J30" s="33" t="s">
        <v>86</v>
      </c>
      <c r="K30" s="33" t="s">
        <v>87</v>
      </c>
    </row>
    <row r="31" spans="1:21" x14ac:dyDescent="0.25">
      <c r="A31" s="34" t="s">
        <v>88</v>
      </c>
      <c r="B31" s="34"/>
      <c r="C31" s="35"/>
      <c r="D31" s="35"/>
      <c r="E31" s="34"/>
      <c r="F31" s="34"/>
      <c r="G31" s="34"/>
      <c r="H31" s="34"/>
      <c r="I31" s="34"/>
      <c r="J31" s="34"/>
      <c r="K31" s="34"/>
    </row>
    <row r="32" spans="1:21" x14ac:dyDescent="0.25">
      <c r="A32" s="7" t="s">
        <v>89</v>
      </c>
      <c r="B32" s="46">
        <v>5.0000000000000001E-3</v>
      </c>
      <c r="C32" s="96"/>
      <c r="D32" s="97"/>
      <c r="E32" s="47">
        <v>0.5</v>
      </c>
      <c r="F32" s="36">
        <f>C32*E32</f>
        <v>0</v>
      </c>
      <c r="G32" s="37">
        <f>D32*E32</f>
        <v>0</v>
      </c>
      <c r="H32" s="48">
        <v>0.04</v>
      </c>
      <c r="I32" s="36">
        <f>C32*H32</f>
        <v>0</v>
      </c>
      <c r="J32" s="37">
        <f>D32*H32</f>
        <v>0</v>
      </c>
      <c r="K32" s="44">
        <v>0.08</v>
      </c>
    </row>
    <row r="33" spans="1:11" x14ac:dyDescent="0.25">
      <c r="A33" s="106" t="s">
        <v>90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27"/>
    </row>
    <row r="34" spans="1:11" x14ac:dyDescent="0.25">
      <c r="A34" s="168" t="s">
        <v>91</v>
      </c>
      <c r="B34" s="46">
        <v>0.02</v>
      </c>
      <c r="C34" s="96"/>
      <c r="D34" s="97"/>
      <c r="E34" s="48">
        <v>1.6</v>
      </c>
      <c r="F34" s="36">
        <f t="shared" ref="F34:F76" si="7">C34*E34</f>
        <v>0</v>
      </c>
      <c r="G34" s="37">
        <f>D34*E34</f>
        <v>0</v>
      </c>
      <c r="H34" s="48">
        <v>0.26</v>
      </c>
      <c r="I34" s="36">
        <f t="shared" ref="I34:I76" si="8">C34*H34</f>
        <v>0</v>
      </c>
      <c r="J34" s="37">
        <f t="shared" ref="J34:J76" si="9">D34*H34</f>
        <v>0</v>
      </c>
      <c r="K34" s="44">
        <v>0.16</v>
      </c>
    </row>
    <row r="35" spans="1:11" x14ac:dyDescent="0.25">
      <c r="A35" s="168"/>
      <c r="B35" s="46">
        <v>0.06</v>
      </c>
      <c r="C35" s="96"/>
      <c r="D35" s="97"/>
      <c r="E35" s="48">
        <v>2.6</v>
      </c>
      <c r="F35" s="36">
        <f t="shared" si="7"/>
        <v>0</v>
      </c>
      <c r="G35" s="37">
        <f>D35*E35</f>
        <v>0</v>
      </c>
      <c r="H35" s="48">
        <v>0.52</v>
      </c>
      <c r="I35" s="36">
        <f t="shared" si="8"/>
        <v>0</v>
      </c>
      <c r="J35" s="37">
        <f t="shared" si="9"/>
        <v>0</v>
      </c>
      <c r="K35" s="44">
        <v>0.2</v>
      </c>
    </row>
    <row r="36" spans="1:11" x14ac:dyDescent="0.25">
      <c r="A36" s="168"/>
      <c r="B36" s="46">
        <v>0.1</v>
      </c>
      <c r="C36" s="96"/>
      <c r="D36" s="97"/>
      <c r="E36" s="48">
        <v>3.6</v>
      </c>
      <c r="F36" s="36">
        <f t="shared" si="7"/>
        <v>0</v>
      </c>
      <c r="G36" s="37">
        <f>D36*E36</f>
        <v>0</v>
      </c>
      <c r="H36" s="48">
        <v>0.79</v>
      </c>
      <c r="I36" s="36">
        <f t="shared" si="8"/>
        <v>0</v>
      </c>
      <c r="J36" s="37">
        <f t="shared" si="9"/>
        <v>0</v>
      </c>
      <c r="K36" s="44">
        <v>0.22</v>
      </c>
    </row>
    <row r="37" spans="1:11" ht="28.5" x14ac:dyDescent="0.25">
      <c r="A37" s="106" t="s">
        <v>92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27"/>
    </row>
    <row r="38" spans="1:11" x14ac:dyDescent="0.25">
      <c r="A38" s="7" t="s">
        <v>93</v>
      </c>
      <c r="B38" s="46">
        <v>1.4999999999999999E-2</v>
      </c>
      <c r="C38" s="96"/>
      <c r="D38" s="97"/>
      <c r="E38" s="49">
        <v>1.5</v>
      </c>
      <c r="F38" s="36">
        <f t="shared" si="7"/>
        <v>0</v>
      </c>
      <c r="G38" s="37">
        <f>D38*E38</f>
        <v>0</v>
      </c>
      <c r="H38" s="49">
        <v>0.13</v>
      </c>
      <c r="I38" s="36">
        <f t="shared" si="8"/>
        <v>0</v>
      </c>
      <c r="J38" s="37">
        <f t="shared" si="9"/>
        <v>0</v>
      </c>
      <c r="K38" s="44">
        <v>0.09</v>
      </c>
    </row>
    <row r="39" spans="1:11" x14ac:dyDescent="0.25">
      <c r="A39" s="7" t="s">
        <v>94</v>
      </c>
      <c r="B39" s="46">
        <v>0.03</v>
      </c>
      <c r="C39" s="96"/>
      <c r="D39" s="97"/>
      <c r="E39" s="49">
        <v>2</v>
      </c>
      <c r="F39" s="36">
        <f t="shared" si="7"/>
        <v>0</v>
      </c>
      <c r="G39" s="37">
        <f>D39*E39</f>
        <v>0</v>
      </c>
      <c r="H39" s="49">
        <v>0.22</v>
      </c>
      <c r="I39" s="36">
        <f t="shared" si="8"/>
        <v>0</v>
      </c>
      <c r="J39" s="37">
        <f t="shared" si="9"/>
        <v>0</v>
      </c>
      <c r="K39" s="44">
        <v>0.11</v>
      </c>
    </row>
    <row r="40" spans="1:11" ht="15" customHeight="1" x14ac:dyDescent="0.25">
      <c r="A40" s="7" t="s">
        <v>95</v>
      </c>
      <c r="B40" s="46">
        <v>0.04</v>
      </c>
      <c r="C40" s="96"/>
      <c r="D40" s="97"/>
      <c r="E40" s="49">
        <v>3.64</v>
      </c>
      <c r="F40" s="36">
        <f t="shared" si="7"/>
        <v>0</v>
      </c>
      <c r="G40" s="37">
        <f>D40*E40</f>
        <v>0</v>
      </c>
      <c r="H40" s="49">
        <v>0.53</v>
      </c>
      <c r="I40" s="36">
        <f t="shared" si="8"/>
        <v>0</v>
      </c>
      <c r="J40" s="37">
        <f t="shared" si="9"/>
        <v>0</v>
      </c>
      <c r="K40" s="44">
        <v>0.17</v>
      </c>
    </row>
    <row r="41" spans="1:11" x14ac:dyDescent="0.25">
      <c r="A41" s="106" t="s">
        <v>96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27"/>
    </row>
    <row r="42" spans="1:11" x14ac:dyDescent="0.25">
      <c r="A42" s="168" t="s">
        <v>97</v>
      </c>
      <c r="B42" s="46">
        <v>0.02</v>
      </c>
      <c r="C42" s="96"/>
      <c r="D42" s="97"/>
      <c r="E42" s="48">
        <v>3</v>
      </c>
      <c r="F42" s="36">
        <f t="shared" si="7"/>
        <v>0</v>
      </c>
      <c r="G42" s="37">
        <f>D42*E42</f>
        <v>0</v>
      </c>
      <c r="H42" s="48">
        <v>0.35</v>
      </c>
      <c r="I42" s="36">
        <f t="shared" si="8"/>
        <v>0</v>
      </c>
      <c r="J42" s="37">
        <f t="shared" si="9"/>
        <v>0</v>
      </c>
      <c r="K42" s="44">
        <v>0.12</v>
      </c>
    </row>
    <row r="43" spans="1:11" x14ac:dyDescent="0.25">
      <c r="A43" s="168"/>
      <c r="B43" s="46">
        <v>0.04</v>
      </c>
      <c r="C43" s="96"/>
      <c r="D43" s="97"/>
      <c r="E43" s="48">
        <v>3.6</v>
      </c>
      <c r="F43" s="36">
        <f t="shared" si="7"/>
        <v>0</v>
      </c>
      <c r="G43" s="37">
        <f>D43*E43</f>
        <v>0</v>
      </c>
      <c r="H43" s="48">
        <v>0.65</v>
      </c>
      <c r="I43" s="36">
        <f t="shared" si="8"/>
        <v>0</v>
      </c>
      <c r="J43" s="37">
        <f t="shared" si="9"/>
        <v>0</v>
      </c>
      <c r="K43" s="44">
        <v>0.18</v>
      </c>
    </row>
    <row r="44" spans="1:11" x14ac:dyDescent="0.25">
      <c r="A44" s="168"/>
      <c r="B44" s="46">
        <v>0.06</v>
      </c>
      <c r="C44" s="96"/>
      <c r="D44" s="97"/>
      <c r="E44" s="48">
        <v>4.4000000000000004</v>
      </c>
      <c r="F44" s="36">
        <f t="shared" si="7"/>
        <v>0</v>
      </c>
      <c r="G44" s="37">
        <f>D44*E44</f>
        <v>0</v>
      </c>
      <c r="H44" s="48">
        <v>0.96</v>
      </c>
      <c r="I44" s="36">
        <f t="shared" si="8"/>
        <v>0</v>
      </c>
      <c r="J44" s="37">
        <f t="shared" si="9"/>
        <v>0</v>
      </c>
      <c r="K44" s="44">
        <v>0.22</v>
      </c>
    </row>
    <row r="45" spans="1:11" ht="24" x14ac:dyDescent="0.25">
      <c r="A45" s="7" t="s">
        <v>98</v>
      </c>
      <c r="B45" s="46">
        <v>0.03</v>
      </c>
      <c r="C45" s="96"/>
      <c r="D45" s="97"/>
      <c r="E45" s="48">
        <v>3.6</v>
      </c>
      <c r="F45" s="36">
        <f t="shared" si="7"/>
        <v>0</v>
      </c>
      <c r="G45" s="37">
        <f>D45*E45</f>
        <v>0</v>
      </c>
      <c r="H45" s="48">
        <v>0.48</v>
      </c>
      <c r="I45" s="36">
        <f t="shared" si="8"/>
        <v>0</v>
      </c>
      <c r="J45" s="37">
        <f t="shared" si="9"/>
        <v>0</v>
      </c>
      <c r="K45" s="44">
        <v>0.13</v>
      </c>
    </row>
    <row r="46" spans="1:11" ht="57" x14ac:dyDescent="0.25">
      <c r="A46" s="38" t="s">
        <v>99</v>
      </c>
      <c r="B46" s="38"/>
      <c r="C46" s="32" t="s">
        <v>100</v>
      </c>
      <c r="D46" s="38" t="s">
        <v>101</v>
      </c>
      <c r="E46" s="38"/>
      <c r="F46" s="38"/>
      <c r="G46" s="38"/>
      <c r="H46" s="38"/>
      <c r="I46" s="38"/>
      <c r="J46" s="38"/>
      <c r="K46" s="38"/>
    </row>
    <row r="47" spans="1:11" x14ac:dyDescent="0.25">
      <c r="A47" s="108" t="s">
        <v>102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10"/>
    </row>
    <row r="48" spans="1:11" x14ac:dyDescent="0.25">
      <c r="A48" s="7" t="s">
        <v>103</v>
      </c>
      <c r="B48" s="45">
        <v>0.72</v>
      </c>
      <c r="C48" s="96"/>
      <c r="D48" s="97"/>
      <c r="E48" s="48">
        <v>33.799999999999997</v>
      </c>
      <c r="F48" s="36">
        <f t="shared" si="7"/>
        <v>0</v>
      </c>
      <c r="G48" s="37">
        <f t="shared" ref="G48:G63" si="10">D48*E48</f>
        <v>0</v>
      </c>
      <c r="H48" s="48">
        <v>7</v>
      </c>
      <c r="I48" s="36">
        <f t="shared" si="8"/>
        <v>0</v>
      </c>
      <c r="J48" s="37">
        <f t="shared" si="9"/>
        <v>0</v>
      </c>
      <c r="K48" s="44">
        <v>0.21</v>
      </c>
    </row>
    <row r="49" spans="1:11" x14ac:dyDescent="0.25">
      <c r="A49" s="7" t="s">
        <v>104</v>
      </c>
      <c r="B49" s="45">
        <v>0.56999999999999995</v>
      </c>
      <c r="C49" s="96"/>
      <c r="D49" s="97"/>
      <c r="E49" s="48">
        <v>26.4</v>
      </c>
      <c r="F49" s="36">
        <f t="shared" si="7"/>
        <v>0</v>
      </c>
      <c r="G49" s="37">
        <f t="shared" si="10"/>
        <v>0</v>
      </c>
      <c r="H49" s="48">
        <v>6.7</v>
      </c>
      <c r="I49" s="36">
        <f t="shared" si="8"/>
        <v>0</v>
      </c>
      <c r="J49" s="37">
        <f t="shared" si="9"/>
        <v>0</v>
      </c>
      <c r="K49" s="44">
        <v>0.25</v>
      </c>
    </row>
    <row r="50" spans="1:11" x14ac:dyDescent="0.25">
      <c r="A50" s="7" t="s">
        <v>105</v>
      </c>
      <c r="B50" s="45">
        <v>0.65</v>
      </c>
      <c r="C50" s="96"/>
      <c r="D50" s="97"/>
      <c r="E50" s="48">
        <v>34.5</v>
      </c>
      <c r="F50" s="36">
        <f t="shared" si="7"/>
        <v>0</v>
      </c>
      <c r="G50" s="37">
        <f t="shared" si="10"/>
        <v>0</v>
      </c>
      <c r="H50" s="49">
        <v>18.899999999999999</v>
      </c>
      <c r="I50" s="36">
        <f t="shared" si="8"/>
        <v>0</v>
      </c>
      <c r="J50" s="37">
        <f t="shared" si="9"/>
        <v>0</v>
      </c>
      <c r="K50" s="44">
        <v>0.24</v>
      </c>
    </row>
    <row r="51" spans="1:11" ht="24" x14ac:dyDescent="0.25">
      <c r="A51" s="7" t="s">
        <v>106</v>
      </c>
      <c r="B51" s="45">
        <v>0.56000000000000005</v>
      </c>
      <c r="C51" s="96"/>
      <c r="D51" s="97"/>
      <c r="E51" s="48">
        <v>28.5</v>
      </c>
      <c r="F51" s="36">
        <f t="shared" si="7"/>
        <v>0</v>
      </c>
      <c r="G51" s="37">
        <f t="shared" si="10"/>
        <v>0</v>
      </c>
      <c r="H51" s="49">
        <v>7</v>
      </c>
      <c r="I51" s="36">
        <f t="shared" si="8"/>
        <v>0</v>
      </c>
      <c r="J51" s="37">
        <f t="shared" si="9"/>
        <v>0</v>
      </c>
      <c r="K51" s="44">
        <v>0.25</v>
      </c>
    </row>
    <row r="52" spans="1:11" ht="24" x14ac:dyDescent="0.25">
      <c r="A52" s="7" t="s">
        <v>65</v>
      </c>
      <c r="B52" s="45">
        <v>0.55000000000000004</v>
      </c>
      <c r="C52" s="96"/>
      <c r="D52" s="97"/>
      <c r="E52" s="48">
        <v>17.5</v>
      </c>
      <c r="F52" s="36">
        <f t="shared" si="7"/>
        <v>0</v>
      </c>
      <c r="G52" s="37">
        <f t="shared" si="10"/>
        <v>0</v>
      </c>
      <c r="H52" s="48">
        <v>11.8</v>
      </c>
      <c r="I52" s="36">
        <f t="shared" si="8"/>
        <v>0</v>
      </c>
      <c r="J52" s="37">
        <f t="shared" si="9"/>
        <v>0</v>
      </c>
      <c r="K52" s="44">
        <v>0.67</v>
      </c>
    </row>
    <row r="53" spans="1:11" ht="24" x14ac:dyDescent="0.25">
      <c r="A53" s="7" t="s">
        <v>68</v>
      </c>
      <c r="B53" s="45">
        <v>0.6</v>
      </c>
      <c r="C53" s="96"/>
      <c r="D53" s="97"/>
      <c r="E53" s="48">
        <v>20.7</v>
      </c>
      <c r="F53" s="36">
        <f t="shared" si="7"/>
        <v>0</v>
      </c>
      <c r="G53" s="37">
        <f t="shared" si="10"/>
        <v>0</v>
      </c>
      <c r="H53" s="48">
        <v>11</v>
      </c>
      <c r="I53" s="36">
        <f t="shared" si="8"/>
        <v>0</v>
      </c>
      <c r="J53" s="37">
        <f t="shared" si="9"/>
        <v>0</v>
      </c>
      <c r="K53" s="44">
        <v>0.53</v>
      </c>
    </row>
    <row r="54" spans="1:11" ht="24" x14ac:dyDescent="0.25">
      <c r="A54" s="7" t="s">
        <v>70</v>
      </c>
      <c r="B54" s="45">
        <v>0.57999999999999996</v>
      </c>
      <c r="C54" s="96"/>
      <c r="D54" s="97"/>
      <c r="E54" s="48">
        <v>19.100000000000001</v>
      </c>
      <c r="F54" s="36">
        <f t="shared" si="7"/>
        <v>0</v>
      </c>
      <c r="G54" s="37">
        <f t="shared" si="10"/>
        <v>0</v>
      </c>
      <c r="H54" s="48">
        <v>11.2</v>
      </c>
      <c r="I54" s="36">
        <f t="shared" si="8"/>
        <v>0</v>
      </c>
      <c r="J54" s="37">
        <f t="shared" si="9"/>
        <v>0</v>
      </c>
      <c r="K54" s="44">
        <v>0.6</v>
      </c>
    </row>
    <row r="55" spans="1:11" x14ac:dyDescent="0.25">
      <c r="A55" s="7" t="s">
        <v>107</v>
      </c>
      <c r="B55" s="45">
        <v>0.66</v>
      </c>
      <c r="C55" s="96"/>
      <c r="D55" s="97"/>
      <c r="E55" s="48">
        <v>33</v>
      </c>
      <c r="F55" s="36">
        <f t="shared" si="7"/>
        <v>0</v>
      </c>
      <c r="G55" s="37">
        <f t="shared" si="10"/>
        <v>0</v>
      </c>
      <c r="H55" s="48">
        <v>7</v>
      </c>
      <c r="I55" s="36">
        <f t="shared" si="8"/>
        <v>0</v>
      </c>
      <c r="J55" s="37">
        <f t="shared" si="9"/>
        <v>0</v>
      </c>
      <c r="K55" s="44"/>
    </row>
    <row r="56" spans="1:11" x14ac:dyDescent="0.25">
      <c r="A56" s="7" t="s">
        <v>108</v>
      </c>
      <c r="B56" s="45">
        <v>0.62</v>
      </c>
      <c r="C56" s="96"/>
      <c r="D56" s="97"/>
      <c r="E56" s="48">
        <v>26.6</v>
      </c>
      <c r="F56" s="36">
        <f t="shared" si="7"/>
        <v>0</v>
      </c>
      <c r="G56" s="37">
        <f t="shared" si="10"/>
        <v>0</v>
      </c>
      <c r="H56" s="48">
        <v>7.7</v>
      </c>
      <c r="I56" s="36">
        <f t="shared" si="8"/>
        <v>0</v>
      </c>
      <c r="J56" s="37">
        <f t="shared" si="9"/>
        <v>0</v>
      </c>
      <c r="K56" s="44">
        <v>0.28999999999999998</v>
      </c>
    </row>
    <row r="57" spans="1:11" x14ac:dyDescent="0.25">
      <c r="A57" s="7" t="s">
        <v>109</v>
      </c>
      <c r="B57" s="45">
        <v>0.59</v>
      </c>
      <c r="C57" s="96"/>
      <c r="D57" s="97"/>
      <c r="E57" s="48">
        <v>24.8</v>
      </c>
      <c r="F57" s="36">
        <f t="shared" si="7"/>
        <v>0</v>
      </c>
      <c r="G57" s="37">
        <f t="shared" si="10"/>
        <v>0</v>
      </c>
      <c r="H57" s="48">
        <v>6</v>
      </c>
      <c r="I57" s="36">
        <f t="shared" si="8"/>
        <v>0</v>
      </c>
      <c r="J57" s="37">
        <f t="shared" si="9"/>
        <v>0</v>
      </c>
      <c r="K57" s="44">
        <v>0.24</v>
      </c>
    </row>
    <row r="58" spans="1:11" x14ac:dyDescent="0.25">
      <c r="A58" s="7" t="s">
        <v>110</v>
      </c>
      <c r="B58" s="45">
        <v>0.61</v>
      </c>
      <c r="C58" s="96"/>
      <c r="D58" s="97"/>
      <c r="E58" s="48">
        <v>25.7</v>
      </c>
      <c r="F58" s="36">
        <f t="shared" si="7"/>
        <v>0</v>
      </c>
      <c r="G58" s="37">
        <f t="shared" si="10"/>
        <v>0</v>
      </c>
      <c r="H58" s="48">
        <v>6.9</v>
      </c>
      <c r="I58" s="36">
        <f t="shared" si="8"/>
        <v>0</v>
      </c>
      <c r="J58" s="37">
        <f t="shared" si="9"/>
        <v>0</v>
      </c>
      <c r="K58" s="44">
        <v>0.27</v>
      </c>
    </row>
    <row r="59" spans="1:11" x14ac:dyDescent="0.25">
      <c r="A59" s="7" t="s">
        <v>71</v>
      </c>
      <c r="B59" s="45">
        <v>0.72</v>
      </c>
      <c r="C59" s="96"/>
      <c r="D59" s="97"/>
      <c r="E59" s="48">
        <v>32.700000000000003</v>
      </c>
      <c r="F59" s="36">
        <f t="shared" si="7"/>
        <v>0</v>
      </c>
      <c r="G59" s="37">
        <f t="shared" si="10"/>
        <v>0</v>
      </c>
      <c r="H59" s="48">
        <v>12</v>
      </c>
      <c r="I59" s="36">
        <f t="shared" si="8"/>
        <v>0</v>
      </c>
      <c r="J59" s="37">
        <f t="shared" si="9"/>
        <v>0</v>
      </c>
      <c r="K59" s="44">
        <v>0.37</v>
      </c>
    </row>
    <row r="60" spans="1:11" ht="24" x14ac:dyDescent="0.25">
      <c r="A60" s="7" t="s">
        <v>111</v>
      </c>
      <c r="B60" s="45">
        <v>0.46</v>
      </c>
      <c r="C60" s="96"/>
      <c r="D60" s="97"/>
      <c r="E60" s="48">
        <v>18.8</v>
      </c>
      <c r="F60" s="36">
        <f t="shared" si="7"/>
        <v>0</v>
      </c>
      <c r="G60" s="37">
        <f t="shared" si="10"/>
        <v>0</v>
      </c>
      <c r="H60" s="48">
        <v>7.5</v>
      </c>
      <c r="I60" s="36">
        <f t="shared" si="8"/>
        <v>0</v>
      </c>
      <c r="J60" s="37">
        <f t="shared" si="9"/>
        <v>0</v>
      </c>
      <c r="K60" s="44">
        <v>0.4</v>
      </c>
    </row>
    <row r="61" spans="1:11" ht="24" x14ac:dyDescent="0.25">
      <c r="A61" s="7" t="s">
        <v>112</v>
      </c>
      <c r="B61" s="45">
        <v>0.32</v>
      </c>
      <c r="C61" s="96"/>
      <c r="D61" s="97"/>
      <c r="E61" s="48">
        <v>15.6</v>
      </c>
      <c r="F61" s="36">
        <f t="shared" si="7"/>
        <v>0</v>
      </c>
      <c r="G61" s="37">
        <f t="shared" si="10"/>
        <v>0</v>
      </c>
      <c r="H61" s="48">
        <v>5</v>
      </c>
      <c r="I61" s="36">
        <f t="shared" si="8"/>
        <v>0</v>
      </c>
      <c r="J61" s="37">
        <f t="shared" si="9"/>
        <v>0</v>
      </c>
      <c r="K61" s="44">
        <v>0.32</v>
      </c>
    </row>
    <row r="62" spans="1:11" x14ac:dyDescent="0.25">
      <c r="A62" s="7" t="s">
        <v>113</v>
      </c>
      <c r="B62" s="45">
        <v>0.31</v>
      </c>
      <c r="C62" s="96"/>
      <c r="D62" s="97"/>
      <c r="E62" s="48">
        <v>15.4</v>
      </c>
      <c r="F62" s="36">
        <f t="shared" si="7"/>
        <v>0</v>
      </c>
      <c r="G62" s="37">
        <f t="shared" si="10"/>
        <v>0</v>
      </c>
      <c r="H62" s="48">
        <v>4.7</v>
      </c>
      <c r="I62" s="36">
        <f t="shared" si="8"/>
        <v>0</v>
      </c>
      <c r="J62" s="37">
        <f t="shared" si="9"/>
        <v>0</v>
      </c>
      <c r="K62" s="44">
        <v>0.31</v>
      </c>
    </row>
    <row r="63" spans="1:11" x14ac:dyDescent="0.25">
      <c r="A63" s="7" t="s">
        <v>114</v>
      </c>
      <c r="B63" s="45">
        <v>0.25</v>
      </c>
      <c r="C63" s="96"/>
      <c r="D63" s="97"/>
      <c r="E63" s="48">
        <v>6.5</v>
      </c>
      <c r="F63" s="36">
        <f t="shared" si="7"/>
        <v>0</v>
      </c>
      <c r="G63" s="37">
        <f t="shared" si="10"/>
        <v>0</v>
      </c>
      <c r="H63" s="48">
        <v>2.4</v>
      </c>
      <c r="I63" s="36">
        <f t="shared" si="8"/>
        <v>0</v>
      </c>
      <c r="J63" s="37">
        <f t="shared" si="9"/>
        <v>0</v>
      </c>
      <c r="K63" s="44">
        <v>0.37</v>
      </c>
    </row>
    <row r="64" spans="1:11" x14ac:dyDescent="0.25">
      <c r="A64" s="108" t="s">
        <v>115</v>
      </c>
      <c r="B64" s="109"/>
      <c r="C64" s="109"/>
      <c r="D64" s="109"/>
      <c r="E64" s="109"/>
      <c r="F64" s="109"/>
      <c r="G64" s="109"/>
      <c r="H64" s="109"/>
      <c r="I64" s="109"/>
      <c r="J64" s="109"/>
      <c r="K64" s="110"/>
    </row>
    <row r="65" spans="1:11" x14ac:dyDescent="0.25">
      <c r="A65" s="7" t="s">
        <v>116</v>
      </c>
      <c r="B65" s="45">
        <v>0.25</v>
      </c>
      <c r="C65" s="96"/>
      <c r="D65" s="97"/>
      <c r="E65" s="48">
        <v>6</v>
      </c>
      <c r="F65" s="36">
        <f t="shared" si="7"/>
        <v>0</v>
      </c>
      <c r="G65" s="37">
        <f>D65*E65</f>
        <v>0</v>
      </c>
      <c r="H65" s="48">
        <v>1.4</v>
      </c>
      <c r="I65" s="36">
        <f t="shared" si="8"/>
        <v>0</v>
      </c>
      <c r="J65" s="37">
        <f t="shared" si="9"/>
        <v>0</v>
      </c>
      <c r="K65" s="44">
        <v>0.23</v>
      </c>
    </row>
    <row r="66" spans="1:11" x14ac:dyDescent="0.25">
      <c r="A66" s="7" t="s">
        <v>117</v>
      </c>
      <c r="B66" s="45">
        <v>0.25</v>
      </c>
      <c r="C66" s="96"/>
      <c r="D66" s="97"/>
      <c r="E66" s="48">
        <v>7</v>
      </c>
      <c r="F66" s="36">
        <f t="shared" si="7"/>
        <v>0</v>
      </c>
      <c r="G66" s="37">
        <f>D66*E66</f>
        <v>0</v>
      </c>
      <c r="H66" s="48">
        <v>1.4</v>
      </c>
      <c r="I66" s="36">
        <f t="shared" si="8"/>
        <v>0</v>
      </c>
      <c r="J66" s="37">
        <f t="shared" si="9"/>
        <v>0</v>
      </c>
      <c r="K66" s="44">
        <v>0.2</v>
      </c>
    </row>
    <row r="67" spans="1:11" x14ac:dyDescent="0.25">
      <c r="A67" s="7" t="s">
        <v>118</v>
      </c>
      <c r="B67" s="45">
        <v>0.4</v>
      </c>
      <c r="C67" s="96"/>
      <c r="D67" s="97"/>
      <c r="E67" s="48">
        <v>9.5</v>
      </c>
      <c r="F67" s="36">
        <f t="shared" si="7"/>
        <v>0</v>
      </c>
      <c r="G67" s="37">
        <f>D67*E67</f>
        <v>0</v>
      </c>
      <c r="H67" s="48">
        <v>2</v>
      </c>
      <c r="I67" s="36">
        <f t="shared" si="8"/>
        <v>0</v>
      </c>
      <c r="J67" s="37">
        <f t="shared" si="9"/>
        <v>0</v>
      </c>
      <c r="K67" s="44">
        <v>0.21</v>
      </c>
    </row>
    <row r="68" spans="1:11" x14ac:dyDescent="0.25">
      <c r="A68" s="7" t="s">
        <v>119</v>
      </c>
      <c r="B68" s="45">
        <v>0.25</v>
      </c>
      <c r="C68" s="96"/>
      <c r="D68" s="97"/>
      <c r="E68" s="48">
        <v>7</v>
      </c>
      <c r="F68" s="36">
        <f t="shared" si="7"/>
        <v>0</v>
      </c>
      <c r="G68" s="37">
        <f>D68*E68</f>
        <v>0</v>
      </c>
      <c r="H68" s="48">
        <v>2.6</v>
      </c>
      <c r="I68" s="36">
        <f t="shared" si="8"/>
        <v>0</v>
      </c>
      <c r="J68" s="37">
        <f t="shared" si="9"/>
        <v>0</v>
      </c>
      <c r="K68" s="44">
        <v>0.37</v>
      </c>
    </row>
    <row r="69" spans="1:11" x14ac:dyDescent="0.25">
      <c r="A69" s="7" t="s">
        <v>120</v>
      </c>
      <c r="B69" s="45">
        <v>0.25</v>
      </c>
      <c r="C69" s="96"/>
      <c r="D69" s="97"/>
      <c r="E69" s="48">
        <v>5</v>
      </c>
      <c r="F69" s="36">
        <f t="shared" si="7"/>
        <v>0</v>
      </c>
      <c r="G69" s="37">
        <f>D69*E69</f>
        <v>0</v>
      </c>
      <c r="H69" s="48">
        <v>2.2000000000000002</v>
      </c>
      <c r="I69" s="36">
        <f t="shared" si="8"/>
        <v>0</v>
      </c>
      <c r="J69" s="37">
        <f t="shared" si="9"/>
        <v>0</v>
      </c>
      <c r="K69" s="44">
        <v>0.44</v>
      </c>
    </row>
    <row r="70" spans="1:11" x14ac:dyDescent="0.25">
      <c r="A70" s="165" t="s">
        <v>248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7"/>
    </row>
    <row r="71" spans="1:11" x14ac:dyDescent="0.25">
      <c r="A71" s="95"/>
      <c r="B71" s="123"/>
      <c r="C71" s="96"/>
      <c r="D71" s="97"/>
      <c r="E71" s="122"/>
      <c r="F71" s="36">
        <f t="shared" si="7"/>
        <v>0</v>
      </c>
      <c r="G71" s="37">
        <f t="shared" ref="G71:G72" si="11">D71*E71</f>
        <v>0</v>
      </c>
      <c r="H71" s="122"/>
      <c r="I71" s="36">
        <f t="shared" si="8"/>
        <v>0</v>
      </c>
      <c r="J71" s="37">
        <f t="shared" si="9"/>
        <v>0</v>
      </c>
      <c r="K71" s="44">
        <f>IF(E71=0,0,H71/E71)</f>
        <v>0</v>
      </c>
    </row>
    <row r="72" spans="1:11" x14ac:dyDescent="0.25">
      <c r="A72" s="95"/>
      <c r="B72" s="123"/>
      <c r="C72" s="96"/>
      <c r="D72" s="97"/>
      <c r="E72" s="122"/>
      <c r="F72" s="36">
        <f t="shared" si="7"/>
        <v>0</v>
      </c>
      <c r="G72" s="37">
        <f t="shared" si="11"/>
        <v>0</v>
      </c>
      <c r="H72" s="122"/>
      <c r="I72" s="36">
        <f t="shared" si="8"/>
        <v>0</v>
      </c>
      <c r="J72" s="37">
        <f t="shared" si="9"/>
        <v>0</v>
      </c>
      <c r="K72" s="44">
        <f>IF(E72=0,0,H72/E72)</f>
        <v>0</v>
      </c>
    </row>
    <row r="73" spans="1:11" ht="30" x14ac:dyDescent="0.25">
      <c r="A73" s="108" t="s">
        <v>121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10"/>
    </row>
    <row r="74" spans="1:11" x14ac:dyDescent="0.25">
      <c r="A74" s="7" t="s">
        <v>122</v>
      </c>
      <c r="B74" s="45">
        <v>0.35</v>
      </c>
      <c r="C74" s="96"/>
      <c r="D74" s="97"/>
      <c r="E74" s="48">
        <v>8</v>
      </c>
      <c r="F74" s="36">
        <f t="shared" si="7"/>
        <v>0</v>
      </c>
      <c r="G74" s="37">
        <f>D74*E74</f>
        <v>0</v>
      </c>
      <c r="H74" s="50">
        <v>1.5</v>
      </c>
      <c r="I74" s="36">
        <f t="shared" si="8"/>
        <v>0</v>
      </c>
      <c r="J74" s="37">
        <f t="shared" si="9"/>
        <v>0</v>
      </c>
      <c r="K74" s="44">
        <v>0.19</v>
      </c>
    </row>
    <row r="75" spans="1:11" ht="24" x14ac:dyDescent="0.25">
      <c r="A75" s="7" t="s">
        <v>123</v>
      </c>
      <c r="B75" s="45">
        <v>0.2</v>
      </c>
      <c r="C75" s="96"/>
      <c r="D75" s="97"/>
      <c r="E75" s="48">
        <v>4.82</v>
      </c>
      <c r="F75" s="36">
        <f t="shared" si="7"/>
        <v>0</v>
      </c>
      <c r="G75" s="37">
        <f>D75*E75</f>
        <v>0</v>
      </c>
      <c r="H75" s="50">
        <v>1.8</v>
      </c>
      <c r="I75" s="36">
        <f t="shared" si="8"/>
        <v>0</v>
      </c>
      <c r="J75" s="37">
        <f t="shared" si="9"/>
        <v>0</v>
      </c>
      <c r="K75" s="44">
        <v>0.22</v>
      </c>
    </row>
    <row r="76" spans="1:11" ht="15" customHeight="1" x14ac:dyDescent="0.25">
      <c r="A76" s="7" t="s">
        <v>124</v>
      </c>
      <c r="B76" s="45">
        <v>0.2</v>
      </c>
      <c r="C76" s="96"/>
      <c r="D76" s="97"/>
      <c r="E76" s="48">
        <v>5</v>
      </c>
      <c r="F76" s="36">
        <f t="shared" si="7"/>
        <v>0</v>
      </c>
      <c r="G76" s="37">
        <f>D76*E76</f>
        <v>0</v>
      </c>
      <c r="H76" s="50">
        <v>1.6</v>
      </c>
      <c r="I76" s="36">
        <f t="shared" si="8"/>
        <v>0</v>
      </c>
      <c r="J76" s="37">
        <f t="shared" si="9"/>
        <v>0</v>
      </c>
      <c r="K76" s="44">
        <v>0.32</v>
      </c>
    </row>
    <row r="77" spans="1:11" ht="18.75" x14ac:dyDescent="0.3">
      <c r="A77" s="4"/>
      <c r="B77" s="4"/>
      <c r="C77" s="4"/>
      <c r="D77" s="4"/>
      <c r="E77" s="40" t="s">
        <v>125</v>
      </c>
      <c r="F77" s="41">
        <f>SUM(F32:F76)</f>
        <v>0</v>
      </c>
      <c r="G77" s="42">
        <f>SUM(G32:G76)</f>
        <v>0</v>
      </c>
      <c r="H77" s="43"/>
      <c r="I77" s="41">
        <f>SUM(I32:I76)</f>
        <v>0</v>
      </c>
      <c r="J77" s="42">
        <f>SUM(J32:J76)</f>
        <v>0</v>
      </c>
      <c r="K77" s="4"/>
    </row>
    <row r="79" spans="1:11" ht="30" x14ac:dyDescent="0.25">
      <c r="A79" s="62"/>
      <c r="B79" s="88" t="s">
        <v>126</v>
      </c>
    </row>
    <row r="80" spans="1:11" x14ac:dyDescent="0.25">
      <c r="A80" s="62" t="s">
        <v>127</v>
      </c>
      <c r="B80" s="83">
        <f>F23</f>
        <v>0</v>
      </c>
    </row>
    <row r="81" spans="1:6" x14ac:dyDescent="0.25">
      <c r="A81" s="62" t="s">
        <v>128</v>
      </c>
      <c r="B81" s="83">
        <f>O26</f>
        <v>0</v>
      </c>
    </row>
    <row r="82" spans="1:6" x14ac:dyDescent="0.25">
      <c r="A82" s="62" t="s">
        <v>129</v>
      </c>
      <c r="B82" s="83">
        <f>T26</f>
        <v>0</v>
      </c>
    </row>
    <row r="83" spans="1:6" x14ac:dyDescent="0.25">
      <c r="A83" s="62" t="s">
        <v>130</v>
      </c>
      <c r="B83" s="62">
        <f>F77</f>
        <v>0</v>
      </c>
    </row>
    <row r="84" spans="1:6" x14ac:dyDescent="0.25">
      <c r="A84" s="62" t="s">
        <v>131</v>
      </c>
      <c r="B84" s="62">
        <f>-G77</f>
        <v>0</v>
      </c>
    </row>
    <row r="85" spans="1:6" x14ac:dyDescent="0.25">
      <c r="A85" s="62" t="s">
        <v>132</v>
      </c>
      <c r="B85" s="84">
        <f>SUM(B80:B84)</f>
        <v>0</v>
      </c>
    </row>
    <row r="87" spans="1:6" x14ac:dyDescent="0.25">
      <c r="A87" s="62" t="s">
        <v>133</v>
      </c>
      <c r="B87" s="66" t="e">
        <f>B85/B4</f>
        <v>#DIV/0!</v>
      </c>
      <c r="D87" s="62" t="s">
        <v>134</v>
      </c>
      <c r="E87" s="62"/>
      <c r="F87" s="87" t="e">
        <f>IF(B87&lt;170,"No",IF(B87&lt;250,"YES","Over 250 limit"))</f>
        <v>#DIV/0!</v>
      </c>
    </row>
    <row r="89" spans="1:6" ht="30" x14ac:dyDescent="0.25">
      <c r="A89" s="85" t="s">
        <v>135</v>
      </c>
      <c r="B89" s="84">
        <f>B85-B84</f>
        <v>0</v>
      </c>
    </row>
    <row r="90" spans="1:6" x14ac:dyDescent="0.25">
      <c r="A90" s="62" t="s">
        <v>133</v>
      </c>
      <c r="B90" s="86" t="e">
        <f>B89/B4</f>
        <v>#DIV/0!</v>
      </c>
      <c r="D90" s="62" t="s">
        <v>136</v>
      </c>
      <c r="E90" s="62"/>
      <c r="F90" s="87" t="e">
        <f>IF(B90&gt;150,"YES","NO")</f>
        <v>#DIV/0!</v>
      </c>
    </row>
  </sheetData>
  <sheetProtection algorithmName="SHA-512" hashValue="fm0YxSZXL5Bvv/yOTbdpZmSBqalJCN/cUiCL9/JUIUE1Su9JKMYfAA12pl8xDT05qB2XSYIGEPrSTo/mHhItFQ==" saltValue="6FM7vUhJH1cpZ6wL6dRdCQ==" spinCount="100000" sheet="1" objects="1" scenarios="1" selectLockedCells="1"/>
  <mergeCells count="15">
    <mergeCell ref="A70:K70"/>
    <mergeCell ref="A34:A36"/>
    <mergeCell ref="A42:A44"/>
    <mergeCell ref="A26:D26"/>
    <mergeCell ref="J11:L11"/>
    <mergeCell ref="A27:D27"/>
    <mergeCell ref="Q10:U10"/>
    <mergeCell ref="B24:D24"/>
    <mergeCell ref="A10:H10"/>
    <mergeCell ref="K15:K16"/>
    <mergeCell ref="L15:L16"/>
    <mergeCell ref="J12:J14"/>
    <mergeCell ref="J17:J19"/>
    <mergeCell ref="J20:J22"/>
    <mergeCell ref="J10:O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1E57A-F8B6-4023-A3BA-325236858AFE}">
  <dimension ref="A1:F41"/>
  <sheetViews>
    <sheetView topLeftCell="A18" workbookViewId="0">
      <selection activeCell="B34" sqref="B34"/>
    </sheetView>
  </sheetViews>
  <sheetFormatPr defaultRowHeight="15" x14ac:dyDescent="0.25"/>
  <cols>
    <col min="1" max="1" width="21.7109375" bestFit="1" customWidth="1"/>
    <col min="2" max="2" width="11" customWidth="1"/>
  </cols>
  <sheetData>
    <row r="1" spans="1:6" x14ac:dyDescent="0.25">
      <c r="A1" s="13" t="s">
        <v>11</v>
      </c>
    </row>
    <row r="2" spans="1:6" x14ac:dyDescent="0.25">
      <c r="A2" s="13"/>
    </row>
    <row r="3" spans="1:6" x14ac:dyDescent="0.25">
      <c r="A3" s="13" t="s">
        <v>137</v>
      </c>
    </row>
    <row r="5" spans="1:6" ht="30" x14ac:dyDescent="0.25">
      <c r="A5" s="4" t="s">
        <v>34</v>
      </c>
      <c r="B5" s="5" t="s">
        <v>138</v>
      </c>
      <c r="C5" s="5" t="s">
        <v>139</v>
      </c>
      <c r="D5" s="5" t="s">
        <v>140</v>
      </c>
      <c r="E5" s="5" t="s">
        <v>141</v>
      </c>
      <c r="F5" s="5" t="s">
        <v>142</v>
      </c>
    </row>
    <row r="6" spans="1:6" x14ac:dyDescent="0.25">
      <c r="A6" s="4" t="s">
        <v>39</v>
      </c>
      <c r="B6" s="92"/>
      <c r="C6" s="92">
        <v>600</v>
      </c>
      <c r="D6" s="4">
        <f>B6*C6</f>
        <v>0</v>
      </c>
      <c r="E6" s="28">
        <v>6.6E-3</v>
      </c>
      <c r="F6" s="4">
        <f>D6*E6</f>
        <v>0</v>
      </c>
    </row>
    <row r="7" spans="1:6" x14ac:dyDescent="0.25">
      <c r="A7" s="4" t="s">
        <v>43</v>
      </c>
      <c r="B7" s="92"/>
      <c r="C7" s="92">
        <v>860</v>
      </c>
      <c r="D7" s="4">
        <f t="shared" ref="D7:D19" si="0">B7*C7</f>
        <v>0</v>
      </c>
      <c r="E7" s="28">
        <v>6.6E-3</v>
      </c>
      <c r="F7" s="4">
        <f t="shared" ref="F7:F19" si="1">D7*E7</f>
        <v>0</v>
      </c>
    </row>
    <row r="8" spans="1:6" x14ac:dyDescent="0.25">
      <c r="A8" s="4" t="s">
        <v>46</v>
      </c>
      <c r="B8" s="92"/>
      <c r="C8" s="92">
        <v>1000</v>
      </c>
      <c r="D8" s="4">
        <f t="shared" si="0"/>
        <v>0</v>
      </c>
      <c r="E8" s="28">
        <v>6.6E-3</v>
      </c>
      <c r="F8" s="4">
        <f t="shared" si="1"/>
        <v>0</v>
      </c>
    </row>
    <row r="9" spans="1:6" x14ac:dyDescent="0.25">
      <c r="A9" s="4" t="s">
        <v>49</v>
      </c>
      <c r="B9" s="92"/>
      <c r="C9" s="92">
        <v>800</v>
      </c>
      <c r="D9" s="4">
        <f t="shared" si="0"/>
        <v>0</v>
      </c>
      <c r="E9" s="28">
        <v>6.6E-3</v>
      </c>
      <c r="F9" s="4">
        <f t="shared" si="1"/>
        <v>0</v>
      </c>
    </row>
    <row r="10" spans="1:6" x14ac:dyDescent="0.25">
      <c r="A10" s="4" t="s">
        <v>53</v>
      </c>
      <c r="B10" s="92"/>
      <c r="C10" s="92">
        <v>450</v>
      </c>
      <c r="D10" s="4">
        <f t="shared" si="0"/>
        <v>0</v>
      </c>
      <c r="E10" s="28">
        <v>6.6E-3</v>
      </c>
      <c r="F10" s="4">
        <f t="shared" si="1"/>
        <v>0</v>
      </c>
    </row>
    <row r="11" spans="1:6" x14ac:dyDescent="0.25">
      <c r="A11" s="4" t="s">
        <v>55</v>
      </c>
      <c r="B11" s="92"/>
      <c r="C11" s="92"/>
      <c r="D11" s="4">
        <f t="shared" si="0"/>
        <v>0</v>
      </c>
      <c r="E11" s="28">
        <v>6.6E-3</v>
      </c>
      <c r="F11" s="4">
        <f t="shared" si="1"/>
        <v>0</v>
      </c>
    </row>
    <row r="12" spans="1:6" x14ac:dyDescent="0.25">
      <c r="A12" s="4" t="s">
        <v>60</v>
      </c>
      <c r="B12" s="92"/>
      <c r="C12" s="92"/>
      <c r="D12" s="4">
        <f t="shared" si="0"/>
        <v>0</v>
      </c>
      <c r="E12" s="28">
        <v>6.6E-3</v>
      </c>
      <c r="F12" s="4">
        <f t="shared" si="1"/>
        <v>0</v>
      </c>
    </row>
    <row r="13" spans="1:6" x14ac:dyDescent="0.25">
      <c r="A13" s="4" t="s">
        <v>63</v>
      </c>
      <c r="B13" s="92"/>
      <c r="C13" s="92">
        <v>250</v>
      </c>
      <c r="D13" s="4">
        <f t="shared" si="0"/>
        <v>0</v>
      </c>
      <c r="E13" s="28">
        <v>6.6E-3</v>
      </c>
      <c r="F13" s="4">
        <f t="shared" si="1"/>
        <v>0</v>
      </c>
    </row>
    <row r="14" spans="1:6" x14ac:dyDescent="0.25">
      <c r="A14" s="4" t="s">
        <v>143</v>
      </c>
      <c r="B14" s="92"/>
      <c r="C14" s="98"/>
      <c r="D14" s="30"/>
      <c r="E14" s="31">
        <v>0.33</v>
      </c>
      <c r="F14" s="4">
        <f>B14*E14</f>
        <v>0</v>
      </c>
    </row>
    <row r="15" spans="1:6" x14ac:dyDescent="0.25">
      <c r="A15" s="4" t="s">
        <v>66</v>
      </c>
      <c r="B15" s="92"/>
      <c r="C15" s="92">
        <v>55</v>
      </c>
      <c r="D15" s="4">
        <f t="shared" si="0"/>
        <v>0</v>
      </c>
      <c r="E15" s="28">
        <v>5.4000000000000003E-3</v>
      </c>
      <c r="F15" s="4">
        <f t="shared" si="1"/>
        <v>0</v>
      </c>
    </row>
    <row r="16" spans="1:6" x14ac:dyDescent="0.25">
      <c r="A16" s="4" t="s">
        <v>69</v>
      </c>
      <c r="B16" s="92"/>
      <c r="C16" s="92">
        <v>75</v>
      </c>
      <c r="D16" s="4">
        <f t="shared" si="0"/>
        <v>0</v>
      </c>
      <c r="E16" s="28">
        <v>5.4000000000000003E-3</v>
      </c>
      <c r="F16" s="4">
        <f t="shared" si="1"/>
        <v>0</v>
      </c>
    </row>
    <row r="17" spans="1:6" x14ac:dyDescent="0.25">
      <c r="A17" s="4" t="s">
        <v>144</v>
      </c>
      <c r="B17" s="92"/>
      <c r="C17" s="92">
        <v>48</v>
      </c>
      <c r="D17" s="4">
        <f t="shared" si="0"/>
        <v>0</v>
      </c>
      <c r="E17" s="28">
        <v>5.4000000000000003E-3</v>
      </c>
      <c r="F17" s="4">
        <f t="shared" si="1"/>
        <v>0</v>
      </c>
    </row>
    <row r="18" spans="1:6" x14ac:dyDescent="0.25">
      <c r="A18" s="4" t="s">
        <v>25</v>
      </c>
      <c r="B18" s="92"/>
      <c r="C18" s="92"/>
      <c r="D18" s="4">
        <f t="shared" si="0"/>
        <v>0</v>
      </c>
      <c r="E18" s="28">
        <v>5.0000000000000001E-3</v>
      </c>
      <c r="F18" s="4">
        <f t="shared" si="1"/>
        <v>0</v>
      </c>
    </row>
    <row r="19" spans="1:6" x14ac:dyDescent="0.25">
      <c r="A19" s="4" t="s">
        <v>26</v>
      </c>
      <c r="B19" s="92"/>
      <c r="C19" s="92"/>
      <c r="D19" s="4">
        <f t="shared" si="0"/>
        <v>0</v>
      </c>
      <c r="E19" s="28">
        <v>5.0000000000000001E-3</v>
      </c>
      <c r="F19" s="4">
        <f t="shared" si="1"/>
        <v>0</v>
      </c>
    </row>
    <row r="20" spans="1:6" x14ac:dyDescent="0.25">
      <c r="F20" s="27">
        <f>SUM(F6:F18)</f>
        <v>0</v>
      </c>
    </row>
    <row r="24" spans="1:6" x14ac:dyDescent="0.25">
      <c r="A24" s="13" t="s">
        <v>145</v>
      </c>
    </row>
    <row r="26" spans="1:6" ht="30" x14ac:dyDescent="0.25">
      <c r="A26" s="4" t="s">
        <v>34</v>
      </c>
      <c r="B26" s="5" t="s">
        <v>146</v>
      </c>
      <c r="C26" s="5" t="s">
        <v>139</v>
      </c>
      <c r="D26" s="5" t="s">
        <v>147</v>
      </c>
      <c r="E26" s="5" t="s">
        <v>141</v>
      </c>
      <c r="F26" s="5" t="s">
        <v>142</v>
      </c>
    </row>
    <row r="27" spans="1:6" x14ac:dyDescent="0.25">
      <c r="A27" s="4" t="s">
        <v>39</v>
      </c>
      <c r="B27" s="92"/>
      <c r="C27" s="92">
        <v>600</v>
      </c>
      <c r="D27" s="4">
        <f>B27*C27</f>
        <v>0</v>
      </c>
      <c r="E27" s="28">
        <v>6.6E-3</v>
      </c>
      <c r="F27" s="4">
        <f>D27*E27</f>
        <v>0</v>
      </c>
    </row>
    <row r="28" spans="1:6" x14ac:dyDescent="0.25">
      <c r="A28" s="4" t="s">
        <v>43</v>
      </c>
      <c r="B28" s="92"/>
      <c r="C28" s="92">
        <v>860</v>
      </c>
      <c r="D28" s="4">
        <f t="shared" ref="D28:D34" si="2">B28*C28</f>
        <v>0</v>
      </c>
      <c r="E28" s="28">
        <v>6.6E-3</v>
      </c>
      <c r="F28" s="4">
        <f t="shared" ref="F28:F34" si="3">D28*E28</f>
        <v>0</v>
      </c>
    </row>
    <row r="29" spans="1:6" x14ac:dyDescent="0.25">
      <c r="A29" s="4" t="s">
        <v>46</v>
      </c>
      <c r="B29" s="92"/>
      <c r="C29" s="92">
        <v>1000</v>
      </c>
      <c r="D29" s="4">
        <f t="shared" si="2"/>
        <v>0</v>
      </c>
      <c r="E29" s="28">
        <v>6.6E-3</v>
      </c>
      <c r="F29" s="4">
        <f t="shared" si="3"/>
        <v>0</v>
      </c>
    </row>
    <row r="30" spans="1:6" x14ac:dyDescent="0.25">
      <c r="A30" s="4" t="s">
        <v>49</v>
      </c>
      <c r="B30" s="92"/>
      <c r="C30" s="92">
        <v>800</v>
      </c>
      <c r="D30" s="4">
        <f t="shared" si="2"/>
        <v>0</v>
      </c>
      <c r="E30" s="28">
        <v>6.6E-3</v>
      </c>
      <c r="F30" s="4">
        <f t="shared" si="3"/>
        <v>0</v>
      </c>
    </row>
    <row r="31" spans="1:6" x14ac:dyDescent="0.25">
      <c r="A31" s="4" t="s">
        <v>53</v>
      </c>
      <c r="B31" s="92"/>
      <c r="C31" s="92">
        <v>600</v>
      </c>
      <c r="D31" s="4">
        <f t="shared" si="2"/>
        <v>0</v>
      </c>
      <c r="E31" s="28">
        <v>6.6E-3</v>
      </c>
      <c r="F31" s="4">
        <f t="shared" si="3"/>
        <v>0</v>
      </c>
    </row>
    <row r="32" spans="1:6" x14ac:dyDescent="0.25">
      <c r="A32" s="4" t="s">
        <v>55</v>
      </c>
      <c r="B32" s="92"/>
      <c r="C32" s="92"/>
      <c r="D32" s="4">
        <f t="shared" si="2"/>
        <v>0</v>
      </c>
      <c r="E32" s="28">
        <v>6.6E-3</v>
      </c>
      <c r="F32" s="4">
        <f t="shared" si="3"/>
        <v>0</v>
      </c>
    </row>
    <row r="33" spans="1:6" x14ac:dyDescent="0.25">
      <c r="A33" s="4" t="s">
        <v>60</v>
      </c>
      <c r="B33" s="92"/>
      <c r="C33" s="92"/>
      <c r="D33" s="4">
        <f t="shared" si="2"/>
        <v>0</v>
      </c>
      <c r="E33" s="28">
        <v>6.6E-3</v>
      </c>
      <c r="F33" s="4">
        <f t="shared" si="3"/>
        <v>0</v>
      </c>
    </row>
    <row r="34" spans="1:6" x14ac:dyDescent="0.25">
      <c r="A34" s="4" t="s">
        <v>63</v>
      </c>
      <c r="B34" s="92"/>
      <c r="C34" s="92">
        <v>250</v>
      </c>
      <c r="D34" s="4">
        <f t="shared" si="2"/>
        <v>0</v>
      </c>
      <c r="E34" s="28">
        <v>6.6E-3</v>
      </c>
      <c r="F34" s="4">
        <f t="shared" si="3"/>
        <v>0</v>
      </c>
    </row>
    <row r="35" spans="1:6" x14ac:dyDescent="0.25">
      <c r="A35" s="4" t="s">
        <v>143</v>
      </c>
      <c r="B35" s="92"/>
      <c r="C35" s="30"/>
      <c r="D35" s="30"/>
      <c r="E35" s="31">
        <v>0.33</v>
      </c>
      <c r="F35" s="4">
        <f>B35*E35</f>
        <v>0</v>
      </c>
    </row>
    <row r="36" spans="1:6" x14ac:dyDescent="0.25">
      <c r="A36" s="4" t="s">
        <v>66</v>
      </c>
      <c r="B36" s="92"/>
      <c r="C36" s="92">
        <v>55</v>
      </c>
      <c r="D36" s="4">
        <f t="shared" ref="D36:D38" si="4">B36*C36</f>
        <v>0</v>
      </c>
      <c r="E36" s="28">
        <v>5.4000000000000003E-3</v>
      </c>
      <c r="F36" s="4">
        <f t="shared" ref="F36:F38" si="5">D36*E36</f>
        <v>0</v>
      </c>
    </row>
    <row r="37" spans="1:6" x14ac:dyDescent="0.25">
      <c r="A37" s="4" t="s">
        <v>69</v>
      </c>
      <c r="B37" s="92"/>
      <c r="C37" s="92">
        <v>75</v>
      </c>
      <c r="D37" s="4">
        <f t="shared" si="4"/>
        <v>0</v>
      </c>
      <c r="E37" s="28">
        <v>5.4000000000000003E-3</v>
      </c>
      <c r="F37" s="4">
        <f t="shared" si="5"/>
        <v>0</v>
      </c>
    </row>
    <row r="38" spans="1:6" x14ac:dyDescent="0.25">
      <c r="A38" s="4" t="s">
        <v>144</v>
      </c>
      <c r="B38" s="92"/>
      <c r="C38" s="92">
        <v>48</v>
      </c>
      <c r="D38" s="4">
        <f t="shared" si="4"/>
        <v>0</v>
      </c>
      <c r="E38" s="28">
        <v>5.4000000000000003E-3</v>
      </c>
      <c r="F38" s="4">
        <f t="shared" si="5"/>
        <v>0</v>
      </c>
    </row>
    <row r="39" spans="1:6" x14ac:dyDescent="0.25">
      <c r="A39" s="4" t="s">
        <v>25</v>
      </c>
      <c r="B39" s="92"/>
      <c r="C39" s="92"/>
      <c r="D39" s="4">
        <f t="shared" ref="D39:D40" si="6">B39*C39</f>
        <v>0</v>
      </c>
      <c r="E39" s="28">
        <v>5.0000000000000001E-3</v>
      </c>
      <c r="F39" s="4">
        <f t="shared" ref="F39:F40" si="7">D39*E39</f>
        <v>0</v>
      </c>
    </row>
    <row r="40" spans="1:6" x14ac:dyDescent="0.25">
      <c r="A40" s="4" t="s">
        <v>26</v>
      </c>
      <c r="B40" s="92"/>
      <c r="C40" s="92"/>
      <c r="D40" s="4">
        <f t="shared" si="6"/>
        <v>0</v>
      </c>
      <c r="E40" s="28">
        <v>5.7999999999999996E-3</v>
      </c>
      <c r="F40" s="4">
        <f t="shared" si="7"/>
        <v>0</v>
      </c>
    </row>
    <row r="41" spans="1:6" x14ac:dyDescent="0.25">
      <c r="F41" s="27">
        <f>SUM(F27:F38)</f>
        <v>0</v>
      </c>
    </row>
  </sheetData>
  <sheetProtection algorithmName="SHA-512" hashValue="hjtVgXepzd2vSIHYO3vwG1bU1PqrpG5ZRxui8wAWBVn4H0FiSNMKSsvnyASEDLSd4OXtsZWAISMKulTc4pzYEA==" saltValue="Q/8qf6qsxVEkp/mgag67c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0D08-90B7-440E-9580-3F9E50A392E6}">
  <dimension ref="A1:L40"/>
  <sheetViews>
    <sheetView workbookViewId="0">
      <selection activeCell="I24" sqref="I24"/>
    </sheetView>
  </sheetViews>
  <sheetFormatPr defaultRowHeight="15" x14ac:dyDescent="0.25"/>
  <cols>
    <col min="1" max="1" width="22.85546875" bestFit="1" customWidth="1"/>
    <col min="2" max="2" width="17.28515625" customWidth="1"/>
    <col min="7" max="7" width="22.85546875" bestFit="1" customWidth="1"/>
    <col min="8" max="8" width="13.28515625" bestFit="1" customWidth="1"/>
    <col min="10" max="10" width="9.5703125" bestFit="1" customWidth="1"/>
  </cols>
  <sheetData>
    <row r="1" spans="1:10" x14ac:dyDescent="0.25">
      <c r="A1" s="13" t="s">
        <v>11</v>
      </c>
    </row>
    <row r="2" spans="1:10" x14ac:dyDescent="0.25">
      <c r="A2" s="13"/>
    </row>
    <row r="3" spans="1:10" x14ac:dyDescent="0.25">
      <c r="A3" s="161" t="s">
        <v>148</v>
      </c>
      <c r="B3" s="161"/>
      <c r="C3" s="161"/>
      <c r="D3" s="161"/>
      <c r="G3" s="161" t="s">
        <v>149</v>
      </c>
      <c r="H3" s="161"/>
      <c r="I3" s="161"/>
      <c r="J3" s="161"/>
    </row>
    <row r="4" spans="1:10" ht="60" x14ac:dyDescent="0.25">
      <c r="A4" s="27" t="s">
        <v>150</v>
      </c>
      <c r="B4" s="10" t="s">
        <v>151</v>
      </c>
      <c r="C4" s="10" t="s">
        <v>152</v>
      </c>
      <c r="D4" s="10" t="s">
        <v>153</v>
      </c>
      <c r="G4" s="27" t="s">
        <v>150</v>
      </c>
      <c r="H4" s="10" t="s">
        <v>151</v>
      </c>
      <c r="I4" s="10" t="s">
        <v>152</v>
      </c>
      <c r="J4" s="10" t="s">
        <v>154</v>
      </c>
    </row>
    <row r="5" spans="1:10" x14ac:dyDescent="0.25">
      <c r="A5" s="4" t="s">
        <v>155</v>
      </c>
      <c r="B5" s="92"/>
      <c r="C5" s="99">
        <v>4.7000000000000002E-3</v>
      </c>
      <c r="D5" s="4">
        <f>(B5*1000)*C5</f>
        <v>0</v>
      </c>
      <c r="G5" s="4" t="s">
        <v>156</v>
      </c>
      <c r="H5" s="100">
        <f>'Land, Stock &amp; Slurry'!B7</f>
        <v>0</v>
      </c>
      <c r="I5" s="28">
        <v>1E-3</v>
      </c>
      <c r="J5" s="29">
        <f>H5*I5</f>
        <v>0</v>
      </c>
    </row>
    <row r="6" spans="1:10" x14ac:dyDescent="0.25">
      <c r="A6" s="4" t="s">
        <v>155</v>
      </c>
      <c r="B6" s="92"/>
      <c r="C6" s="99">
        <v>4.7000000000000002E-3</v>
      </c>
      <c r="D6" s="4">
        <f t="shared" ref="D6:D39" si="0">(B6*1000)*C6</f>
        <v>0</v>
      </c>
      <c r="G6" s="4" t="s">
        <v>157</v>
      </c>
      <c r="H6" s="92"/>
      <c r="I6" s="28">
        <v>2.2000000000000001E-3</v>
      </c>
      <c r="J6" s="4">
        <f t="shared" ref="J6:J25" si="1">(H6*1000)*I6</f>
        <v>0</v>
      </c>
    </row>
    <row r="7" spans="1:10" x14ac:dyDescent="0.25">
      <c r="A7" s="4" t="s">
        <v>158</v>
      </c>
      <c r="B7" s="92"/>
      <c r="C7" s="99">
        <v>4.3E-3</v>
      </c>
      <c r="D7" s="4">
        <f t="shared" si="0"/>
        <v>0</v>
      </c>
      <c r="G7" s="4" t="s">
        <v>159</v>
      </c>
      <c r="H7" s="92"/>
      <c r="I7" s="28">
        <v>4.0000000000000002E-4</v>
      </c>
      <c r="J7" s="4">
        <f t="shared" si="1"/>
        <v>0</v>
      </c>
    </row>
    <row r="8" spans="1:10" x14ac:dyDescent="0.25">
      <c r="A8" s="4" t="s">
        <v>158</v>
      </c>
      <c r="B8" s="92"/>
      <c r="C8" s="99">
        <v>4.3E-3</v>
      </c>
      <c r="D8" s="4">
        <f t="shared" si="0"/>
        <v>0</v>
      </c>
      <c r="G8" s="4" t="s">
        <v>160</v>
      </c>
      <c r="H8" s="92"/>
      <c r="I8" s="28">
        <v>4.0000000000000002E-4</v>
      </c>
      <c r="J8" s="4">
        <f t="shared" si="1"/>
        <v>0</v>
      </c>
    </row>
    <row r="9" spans="1:10" x14ac:dyDescent="0.25">
      <c r="A9" s="4" t="s">
        <v>161</v>
      </c>
      <c r="B9" s="92"/>
      <c r="C9" s="99">
        <v>5.0000000000000001E-3</v>
      </c>
      <c r="D9" s="4">
        <f t="shared" si="0"/>
        <v>0</v>
      </c>
      <c r="G9" s="4" t="s">
        <v>162</v>
      </c>
      <c r="H9" s="92"/>
      <c r="I9" s="28">
        <v>1E-3</v>
      </c>
      <c r="J9" s="4">
        <f t="shared" si="1"/>
        <v>0</v>
      </c>
    </row>
    <row r="10" spans="1:10" x14ac:dyDescent="0.25">
      <c r="A10" s="4" t="s">
        <v>163</v>
      </c>
      <c r="B10" s="92"/>
      <c r="C10" s="99">
        <v>4.7999999999999996E-3</v>
      </c>
      <c r="D10" s="4">
        <f t="shared" si="0"/>
        <v>0</v>
      </c>
      <c r="G10" s="4" t="s">
        <v>164</v>
      </c>
      <c r="H10" s="92"/>
      <c r="I10" s="28">
        <v>5.9999999999999995E-4</v>
      </c>
      <c r="J10" s="4">
        <f t="shared" si="1"/>
        <v>0</v>
      </c>
    </row>
    <row r="11" spans="1:10" x14ac:dyDescent="0.25">
      <c r="A11" s="4" t="s">
        <v>162</v>
      </c>
      <c r="B11" s="92"/>
      <c r="C11" s="28">
        <v>1E-3</v>
      </c>
      <c r="D11" s="4">
        <f t="shared" si="0"/>
        <v>0</v>
      </c>
      <c r="G11" s="4" t="s">
        <v>165</v>
      </c>
      <c r="H11" s="92"/>
      <c r="I11" s="28">
        <v>3.0000000000000001E-3</v>
      </c>
      <c r="J11" s="4">
        <f t="shared" si="1"/>
        <v>0</v>
      </c>
    </row>
    <row r="12" spans="1:10" x14ac:dyDescent="0.25">
      <c r="A12" s="4" t="s">
        <v>164</v>
      </c>
      <c r="B12" s="92"/>
      <c r="C12" s="28">
        <v>5.9999999999999995E-4</v>
      </c>
      <c r="D12" s="4">
        <f t="shared" si="0"/>
        <v>0</v>
      </c>
      <c r="G12" s="4" t="s">
        <v>166</v>
      </c>
      <c r="H12" s="92"/>
      <c r="I12" s="28">
        <v>2.8999999999999998E-3</v>
      </c>
      <c r="J12" s="4">
        <f t="shared" si="1"/>
        <v>0</v>
      </c>
    </row>
    <row r="13" spans="1:10" x14ac:dyDescent="0.25">
      <c r="A13" s="4" t="s">
        <v>165</v>
      </c>
      <c r="B13" s="92"/>
      <c r="C13" s="28">
        <v>3.0000000000000001E-3</v>
      </c>
      <c r="D13" s="4">
        <f t="shared" si="0"/>
        <v>0</v>
      </c>
      <c r="G13" s="4" t="s">
        <v>167</v>
      </c>
      <c r="H13" s="92"/>
      <c r="I13" s="28">
        <v>3.0000000000000001E-3</v>
      </c>
      <c r="J13" s="4">
        <f t="shared" si="1"/>
        <v>0</v>
      </c>
    </row>
    <row r="14" spans="1:10" x14ac:dyDescent="0.25">
      <c r="A14" s="4" t="s">
        <v>166</v>
      </c>
      <c r="B14" s="92"/>
      <c r="C14" s="28">
        <v>2.8999999999999998E-3</v>
      </c>
      <c r="D14" s="4">
        <f t="shared" si="0"/>
        <v>0</v>
      </c>
      <c r="G14" s="4" t="s">
        <v>168</v>
      </c>
      <c r="H14" s="92"/>
      <c r="I14" s="28">
        <v>2.5999999999999999E-3</v>
      </c>
      <c r="J14" s="4">
        <f t="shared" si="1"/>
        <v>0</v>
      </c>
    </row>
    <row r="15" spans="1:10" x14ac:dyDescent="0.25">
      <c r="A15" s="4" t="s">
        <v>167</v>
      </c>
      <c r="B15" s="92"/>
      <c r="C15" s="28">
        <v>3.0000000000000001E-3</v>
      </c>
      <c r="D15" s="4">
        <f t="shared" si="0"/>
        <v>0</v>
      </c>
      <c r="G15" s="4" t="s">
        <v>169</v>
      </c>
      <c r="H15" s="92"/>
      <c r="I15" s="28">
        <v>2.5000000000000001E-3</v>
      </c>
      <c r="J15" s="4">
        <f t="shared" si="1"/>
        <v>0</v>
      </c>
    </row>
    <row r="16" spans="1:10" x14ac:dyDescent="0.25">
      <c r="A16" s="4" t="s">
        <v>168</v>
      </c>
      <c r="B16" s="92"/>
      <c r="C16" s="28">
        <v>2.5999999999999999E-3</v>
      </c>
      <c r="D16" s="4">
        <f t="shared" si="0"/>
        <v>0</v>
      </c>
      <c r="G16" s="4" t="s">
        <v>170</v>
      </c>
      <c r="H16" s="92"/>
      <c r="I16" s="28">
        <v>8.0999999999999996E-3</v>
      </c>
      <c r="J16" s="4">
        <f t="shared" si="1"/>
        <v>0</v>
      </c>
    </row>
    <row r="17" spans="1:12" x14ac:dyDescent="0.25">
      <c r="A17" s="4" t="s">
        <v>169</v>
      </c>
      <c r="B17" s="92"/>
      <c r="C17" s="28">
        <v>2.5000000000000001E-3</v>
      </c>
      <c r="D17" s="4">
        <f t="shared" si="0"/>
        <v>0</v>
      </c>
      <c r="G17" s="4" t="s">
        <v>171</v>
      </c>
      <c r="H17" s="92"/>
      <c r="I17" s="28">
        <v>1.0999999999999999E-2</v>
      </c>
      <c r="J17" s="4">
        <f t="shared" si="1"/>
        <v>0</v>
      </c>
    </row>
    <row r="18" spans="1:12" x14ac:dyDescent="0.25">
      <c r="A18" s="4" t="s">
        <v>172</v>
      </c>
      <c r="B18" s="92"/>
      <c r="C18" s="28">
        <v>4.4999999999999997E-3</v>
      </c>
      <c r="D18" s="4">
        <f t="shared" si="0"/>
        <v>0</v>
      </c>
      <c r="G18" s="4" t="s">
        <v>173</v>
      </c>
      <c r="H18" s="92"/>
      <c r="I18" s="28">
        <v>4.4000000000000003E-3</v>
      </c>
      <c r="J18" s="4">
        <f t="shared" si="1"/>
        <v>0</v>
      </c>
    </row>
    <row r="19" spans="1:12" x14ac:dyDescent="0.25">
      <c r="A19" s="4" t="s">
        <v>170</v>
      </c>
      <c r="B19" s="92"/>
      <c r="C19" s="28">
        <v>8.0999999999999996E-3</v>
      </c>
      <c r="D19" s="4">
        <f t="shared" si="0"/>
        <v>0</v>
      </c>
      <c r="G19" s="4" t="s">
        <v>174</v>
      </c>
      <c r="H19" s="92"/>
      <c r="I19" s="28">
        <v>1E-3</v>
      </c>
      <c r="J19" s="4">
        <f t="shared" si="1"/>
        <v>0</v>
      </c>
    </row>
    <row r="20" spans="1:12" x14ac:dyDescent="0.25">
      <c r="A20" s="4" t="s">
        <v>171</v>
      </c>
      <c r="B20" s="92"/>
      <c r="C20" s="28">
        <v>1.0999999999999999E-2</v>
      </c>
      <c r="D20" s="4">
        <f t="shared" si="0"/>
        <v>0</v>
      </c>
      <c r="G20" s="4" t="s">
        <v>175</v>
      </c>
      <c r="H20" s="92"/>
      <c r="I20" s="28">
        <v>5.9999999999999995E-4</v>
      </c>
      <c r="J20" s="4">
        <f t="shared" si="1"/>
        <v>0</v>
      </c>
    </row>
    <row r="21" spans="1:12" x14ac:dyDescent="0.25">
      <c r="A21" s="4" t="s">
        <v>176</v>
      </c>
      <c r="B21" s="92"/>
      <c r="C21" s="28">
        <v>6.7999999999999996E-3</v>
      </c>
      <c r="D21" s="4">
        <f t="shared" si="0"/>
        <v>0</v>
      </c>
      <c r="G21" s="4" t="s">
        <v>177</v>
      </c>
      <c r="H21" s="92"/>
      <c r="I21" s="28">
        <v>8.9999999999999998E-4</v>
      </c>
      <c r="J21" s="4">
        <f t="shared" si="1"/>
        <v>0</v>
      </c>
    </row>
    <row r="22" spans="1:12" x14ac:dyDescent="0.25">
      <c r="A22" s="4" t="s">
        <v>178</v>
      </c>
      <c r="B22" s="92"/>
      <c r="C22" s="28">
        <v>9.2999999999999992E-3</v>
      </c>
      <c r="D22" s="4">
        <f t="shared" si="0"/>
        <v>0</v>
      </c>
      <c r="G22" s="4" t="s">
        <v>179</v>
      </c>
      <c r="H22" s="92"/>
      <c r="I22" s="28">
        <v>6.9999999999999999E-4</v>
      </c>
      <c r="J22" s="4">
        <f t="shared" si="1"/>
        <v>0</v>
      </c>
    </row>
    <row r="23" spans="1:12" x14ac:dyDescent="0.25">
      <c r="A23" s="4" t="s">
        <v>180</v>
      </c>
      <c r="B23" s="92"/>
      <c r="C23" s="28">
        <v>9.5999999999999992E-3</v>
      </c>
      <c r="D23" s="4">
        <f t="shared" si="0"/>
        <v>0</v>
      </c>
      <c r="G23" s="4" t="s">
        <v>181</v>
      </c>
      <c r="H23" s="92"/>
      <c r="I23" s="28">
        <v>6.9999999999999999E-4</v>
      </c>
      <c r="J23" s="4">
        <f t="shared" si="1"/>
        <v>0</v>
      </c>
    </row>
    <row r="24" spans="1:12" x14ac:dyDescent="0.25">
      <c r="A24" s="4" t="s">
        <v>182</v>
      </c>
      <c r="B24" s="92"/>
      <c r="C24" s="28">
        <v>1E-3</v>
      </c>
      <c r="D24" s="4">
        <f t="shared" si="0"/>
        <v>0</v>
      </c>
      <c r="G24" s="92"/>
      <c r="H24" s="92"/>
      <c r="I24" s="99"/>
      <c r="J24" s="4">
        <f t="shared" si="1"/>
        <v>0</v>
      </c>
      <c r="L24" s="125" t="s">
        <v>253</v>
      </c>
    </row>
    <row r="25" spans="1:12" x14ac:dyDescent="0.25">
      <c r="A25" s="4" t="s">
        <v>183</v>
      </c>
      <c r="B25" s="92"/>
      <c r="C25" s="28">
        <v>7.7000000000000002E-3</v>
      </c>
      <c r="D25" s="4">
        <f t="shared" si="0"/>
        <v>0</v>
      </c>
      <c r="G25" s="92"/>
      <c r="H25" s="92"/>
      <c r="I25" s="99"/>
      <c r="J25" s="4">
        <f t="shared" si="1"/>
        <v>0</v>
      </c>
      <c r="L25" s="125" t="s">
        <v>253</v>
      </c>
    </row>
    <row r="26" spans="1:12" x14ac:dyDescent="0.25">
      <c r="A26" s="4" t="s">
        <v>184</v>
      </c>
      <c r="B26" s="92"/>
      <c r="C26" s="28">
        <v>7.7000000000000002E-3</v>
      </c>
      <c r="D26" s="4">
        <f t="shared" si="0"/>
        <v>0</v>
      </c>
      <c r="G26" s="4"/>
      <c r="H26" s="27" t="s">
        <v>125</v>
      </c>
      <c r="I26" s="4"/>
      <c r="J26" s="126">
        <f>SUM(J5:J25)</f>
        <v>0</v>
      </c>
    </row>
    <row r="27" spans="1:12" x14ac:dyDescent="0.25">
      <c r="A27" s="4" t="s">
        <v>173</v>
      </c>
      <c r="B27" s="92"/>
      <c r="C27" s="28">
        <v>4.4000000000000003E-3</v>
      </c>
      <c r="D27" s="4">
        <f t="shared" si="0"/>
        <v>0</v>
      </c>
    </row>
    <row r="28" spans="1:12" x14ac:dyDescent="0.25">
      <c r="A28" s="4" t="s">
        <v>185</v>
      </c>
      <c r="B28" s="92"/>
      <c r="C28" s="28">
        <v>6.3E-3</v>
      </c>
      <c r="D28" s="4">
        <f t="shared" si="0"/>
        <v>0</v>
      </c>
    </row>
    <row r="29" spans="1:12" x14ac:dyDescent="0.25">
      <c r="A29" s="4" t="s">
        <v>186</v>
      </c>
      <c r="B29" s="92"/>
      <c r="C29" s="28">
        <v>0.01</v>
      </c>
      <c r="D29" s="4">
        <f t="shared" si="0"/>
        <v>0</v>
      </c>
    </row>
    <row r="30" spans="1:12" x14ac:dyDescent="0.25">
      <c r="A30" s="4" t="s">
        <v>187</v>
      </c>
      <c r="B30" s="92"/>
      <c r="C30" s="28">
        <v>1.4E-3</v>
      </c>
      <c r="D30" s="4">
        <f t="shared" si="0"/>
        <v>0</v>
      </c>
    </row>
    <row r="31" spans="1:12" x14ac:dyDescent="0.25">
      <c r="A31" s="4" t="s">
        <v>174</v>
      </c>
      <c r="B31" s="92"/>
      <c r="C31" s="28">
        <v>1E-3</v>
      </c>
      <c r="D31" s="4">
        <f t="shared" si="0"/>
        <v>0</v>
      </c>
    </row>
    <row r="32" spans="1:12" x14ac:dyDescent="0.25">
      <c r="A32" s="124" t="s">
        <v>249</v>
      </c>
      <c r="B32" s="92"/>
      <c r="C32" s="28">
        <v>7.7999999999999996E-3</v>
      </c>
      <c r="D32" s="4">
        <f t="shared" si="0"/>
        <v>0</v>
      </c>
      <c r="F32" s="125" t="s">
        <v>250</v>
      </c>
    </row>
    <row r="33" spans="1:6" x14ac:dyDescent="0.25">
      <c r="A33" s="124" t="s">
        <v>251</v>
      </c>
      <c r="B33" s="92"/>
      <c r="C33" s="28">
        <v>7.0000000000000001E-3</v>
      </c>
      <c r="D33" s="4">
        <f t="shared" si="0"/>
        <v>0</v>
      </c>
      <c r="F33" s="125" t="s">
        <v>250</v>
      </c>
    </row>
    <row r="34" spans="1:6" x14ac:dyDescent="0.25">
      <c r="A34" s="92"/>
      <c r="B34" s="92"/>
      <c r="C34" s="99"/>
      <c r="D34" s="4">
        <f t="shared" si="0"/>
        <v>0</v>
      </c>
      <c r="F34" s="125" t="s">
        <v>252</v>
      </c>
    </row>
    <row r="35" spans="1:6" x14ac:dyDescent="0.25">
      <c r="A35" s="92"/>
      <c r="B35" s="92"/>
      <c r="C35" s="99"/>
      <c r="D35" s="4">
        <f t="shared" si="0"/>
        <v>0</v>
      </c>
      <c r="F35" s="125" t="s">
        <v>252</v>
      </c>
    </row>
    <row r="36" spans="1:6" x14ac:dyDescent="0.25">
      <c r="A36" s="4" t="s">
        <v>175</v>
      </c>
      <c r="B36" s="92"/>
      <c r="C36" s="28">
        <v>5.9999999999999995E-4</v>
      </c>
      <c r="D36" s="4">
        <f t="shared" si="0"/>
        <v>0</v>
      </c>
    </row>
    <row r="37" spans="1:6" x14ac:dyDescent="0.25">
      <c r="A37" s="4" t="s">
        <v>177</v>
      </c>
      <c r="B37" s="92"/>
      <c r="C37" s="28">
        <v>8.9999999999999998E-4</v>
      </c>
      <c r="D37" s="4">
        <f t="shared" si="0"/>
        <v>0</v>
      </c>
    </row>
    <row r="38" spans="1:6" x14ac:dyDescent="0.25">
      <c r="A38" s="4" t="s">
        <v>179</v>
      </c>
      <c r="B38" s="92"/>
      <c r="C38" s="28">
        <v>6.9999999999999999E-4</v>
      </c>
      <c r="D38" s="4">
        <f t="shared" si="0"/>
        <v>0</v>
      </c>
    </row>
    <row r="39" spans="1:6" x14ac:dyDescent="0.25">
      <c r="A39" s="4" t="s">
        <v>181</v>
      </c>
      <c r="B39" s="92"/>
      <c r="C39" s="28">
        <v>6.9999999999999999E-4</v>
      </c>
      <c r="D39" s="4">
        <f t="shared" si="0"/>
        <v>0</v>
      </c>
    </row>
    <row r="40" spans="1:6" x14ac:dyDescent="0.25">
      <c r="A40" s="4"/>
      <c r="B40" s="27" t="s">
        <v>125</v>
      </c>
      <c r="C40" s="4"/>
      <c r="D40" s="27">
        <f>SUM(D5:D39)</f>
        <v>0</v>
      </c>
    </row>
  </sheetData>
  <sheetProtection algorithmName="SHA-512" hashValue="if+BhBdp1RBBuX9YG5Y6B9UBMip/F5kQvldIx6tzG4iIM9BwmI/Oq8SGJZR144r+GKXJ9+ASer3bQTMQloBhuw==" saltValue="XauHWD1KOi8q/kYVpV5aLg==" spinCount="100000" sheet="1" objects="1" scenarios="1" selectLockedCells="1"/>
  <mergeCells count="2">
    <mergeCell ref="A3:D3"/>
    <mergeCell ref="G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B597A-018E-4D43-A341-7C2B5B81DC36}">
  <dimension ref="B2:S15"/>
  <sheetViews>
    <sheetView workbookViewId="0">
      <selection activeCell="D6" sqref="D6"/>
    </sheetView>
  </sheetViews>
  <sheetFormatPr defaultRowHeight="15" x14ac:dyDescent="0.25"/>
  <cols>
    <col min="2" max="2" width="17.28515625" customWidth="1"/>
    <col min="7" max="7" width="14.140625" customWidth="1"/>
    <col min="9" max="9" width="12.28515625" customWidth="1"/>
    <col min="10" max="10" width="12.28515625" bestFit="1" customWidth="1"/>
    <col min="11" max="11" width="11.5703125" bestFit="1" customWidth="1"/>
    <col min="13" max="13" width="10.7109375" bestFit="1" customWidth="1"/>
    <col min="14" max="14" width="12.28515625" bestFit="1" customWidth="1"/>
    <col min="15" max="15" width="11.5703125" bestFit="1" customWidth="1"/>
    <col min="17" max="17" width="10.7109375" bestFit="1" customWidth="1"/>
    <col min="18" max="18" width="12.28515625" bestFit="1" customWidth="1"/>
    <col min="19" max="19" width="11.5703125" bestFit="1" customWidth="1"/>
  </cols>
  <sheetData>
    <row r="2" spans="2:19" x14ac:dyDescent="0.25">
      <c r="B2" s="173" t="s">
        <v>188</v>
      </c>
      <c r="C2" s="173"/>
      <c r="D2" s="173"/>
      <c r="E2" s="173"/>
      <c r="F2" s="173"/>
      <c r="G2" s="173"/>
    </row>
    <row r="3" spans="2:19" x14ac:dyDescent="0.25">
      <c r="B3" s="161" t="s">
        <v>189</v>
      </c>
      <c r="C3" s="161"/>
      <c r="D3" s="161"/>
      <c r="E3" s="161"/>
      <c r="F3" s="161"/>
      <c r="G3" s="161"/>
      <c r="I3" s="161" t="s">
        <v>190</v>
      </c>
      <c r="J3" s="161"/>
      <c r="K3" s="161"/>
      <c r="M3" s="161" t="s">
        <v>191</v>
      </c>
      <c r="N3" s="161"/>
      <c r="O3" s="161"/>
      <c r="Q3" s="161" t="s">
        <v>192</v>
      </c>
      <c r="R3" s="161"/>
      <c r="S3" s="161"/>
    </row>
    <row r="4" spans="2:19" ht="31.5" x14ac:dyDescent="0.35">
      <c r="B4" s="4" t="s">
        <v>193</v>
      </c>
      <c r="C4" s="4" t="s">
        <v>194</v>
      </c>
      <c r="D4" s="14" t="s">
        <v>195</v>
      </c>
      <c r="E4" s="19" t="s">
        <v>259</v>
      </c>
      <c r="F4" s="23" t="s">
        <v>260</v>
      </c>
      <c r="G4" s="5" t="s">
        <v>196</v>
      </c>
      <c r="I4" s="51" t="s">
        <v>197</v>
      </c>
      <c r="J4" s="55" t="s">
        <v>261</v>
      </c>
      <c r="K4" s="128" t="s">
        <v>262</v>
      </c>
      <c r="M4" s="51" t="s">
        <v>197</v>
      </c>
      <c r="N4" s="55" t="s">
        <v>261</v>
      </c>
      <c r="O4" s="128" t="s">
        <v>262</v>
      </c>
      <c r="Q4" s="51" t="s">
        <v>197</v>
      </c>
      <c r="R4" s="55" t="s">
        <v>261</v>
      </c>
      <c r="S4" s="128" t="s">
        <v>262</v>
      </c>
    </row>
    <row r="5" spans="2:19" x14ac:dyDescent="0.25">
      <c r="B5" s="92" t="s">
        <v>198</v>
      </c>
      <c r="C5" s="92"/>
      <c r="D5" s="101">
        <v>0.46</v>
      </c>
      <c r="E5" s="102">
        <v>0</v>
      </c>
      <c r="F5" s="103">
        <v>0</v>
      </c>
      <c r="G5" s="104">
        <v>1</v>
      </c>
      <c r="I5" s="15">
        <f>($C5*1000)*D5</f>
        <v>0</v>
      </c>
      <c r="J5" s="20">
        <f t="shared" ref="J5:K12" si="0">($C5*1000)*E5</f>
        <v>0</v>
      </c>
      <c r="K5" s="24">
        <f t="shared" si="0"/>
        <v>0</v>
      </c>
      <c r="M5" s="15">
        <f>I5*$G5</f>
        <v>0</v>
      </c>
      <c r="N5" s="20">
        <f t="shared" ref="N5:O12" si="1">J5*$G5</f>
        <v>0</v>
      </c>
      <c r="O5" s="24">
        <f t="shared" si="1"/>
        <v>0</v>
      </c>
      <c r="Q5" s="15">
        <f>I5-M5</f>
        <v>0</v>
      </c>
      <c r="R5" s="20">
        <f>J5-N5</f>
        <v>0</v>
      </c>
      <c r="S5" s="24">
        <f>K5-O5</f>
        <v>0</v>
      </c>
    </row>
    <row r="6" spans="2:19" x14ac:dyDescent="0.25">
      <c r="B6" s="92" t="s">
        <v>247</v>
      </c>
      <c r="C6" s="92"/>
      <c r="D6" s="101">
        <v>0.27</v>
      </c>
      <c r="E6" s="102">
        <v>0</v>
      </c>
      <c r="F6" s="103">
        <v>0</v>
      </c>
      <c r="G6" s="104">
        <v>1</v>
      </c>
      <c r="I6" s="15">
        <f t="shared" ref="I6:I12" si="2">($C6*1000)*D6</f>
        <v>0</v>
      </c>
      <c r="J6" s="20">
        <f t="shared" si="0"/>
        <v>0</v>
      </c>
      <c r="K6" s="24">
        <f t="shared" si="0"/>
        <v>0</v>
      </c>
      <c r="M6" s="15">
        <f t="shared" ref="M6:M12" si="3">I6*$G6</f>
        <v>0</v>
      </c>
      <c r="N6" s="20">
        <f t="shared" si="1"/>
        <v>0</v>
      </c>
      <c r="O6" s="24">
        <f t="shared" si="1"/>
        <v>0</v>
      </c>
      <c r="Q6" s="15">
        <f t="shared" ref="Q6:Q13" si="4">I6-M6</f>
        <v>0</v>
      </c>
      <c r="R6" s="20">
        <f t="shared" ref="R6:R12" si="5">J6-N6</f>
        <v>0</v>
      </c>
      <c r="S6" s="24">
        <f t="shared" ref="S6:S12" si="6">K6-O6</f>
        <v>0</v>
      </c>
    </row>
    <row r="7" spans="2:19" x14ac:dyDescent="0.25">
      <c r="B7" s="92"/>
      <c r="C7" s="92"/>
      <c r="D7" s="101"/>
      <c r="E7" s="102"/>
      <c r="F7" s="103"/>
      <c r="G7" s="104">
        <v>1</v>
      </c>
      <c r="I7" s="15">
        <f t="shared" si="2"/>
        <v>0</v>
      </c>
      <c r="J7" s="20">
        <f t="shared" si="0"/>
        <v>0</v>
      </c>
      <c r="K7" s="24">
        <f t="shared" si="0"/>
        <v>0</v>
      </c>
      <c r="M7" s="15">
        <f t="shared" si="3"/>
        <v>0</v>
      </c>
      <c r="N7" s="20">
        <f t="shared" si="1"/>
        <v>0</v>
      </c>
      <c r="O7" s="24">
        <f t="shared" si="1"/>
        <v>0</v>
      </c>
      <c r="Q7" s="15">
        <f t="shared" si="4"/>
        <v>0</v>
      </c>
      <c r="R7" s="20">
        <f t="shared" si="5"/>
        <v>0</v>
      </c>
      <c r="S7" s="24">
        <f t="shared" si="6"/>
        <v>0</v>
      </c>
    </row>
    <row r="8" spans="2:19" x14ac:dyDescent="0.25">
      <c r="B8" s="92"/>
      <c r="C8" s="92"/>
      <c r="D8" s="101"/>
      <c r="E8" s="102"/>
      <c r="F8" s="103"/>
      <c r="G8" s="104">
        <v>1</v>
      </c>
      <c r="I8" s="15">
        <f t="shared" si="2"/>
        <v>0</v>
      </c>
      <c r="J8" s="20">
        <f t="shared" si="0"/>
        <v>0</v>
      </c>
      <c r="K8" s="24">
        <f t="shared" si="0"/>
        <v>0</v>
      </c>
      <c r="M8" s="15">
        <f t="shared" si="3"/>
        <v>0</v>
      </c>
      <c r="N8" s="20">
        <f t="shared" si="1"/>
        <v>0</v>
      </c>
      <c r="O8" s="24">
        <f t="shared" si="1"/>
        <v>0</v>
      </c>
      <c r="Q8" s="15">
        <f t="shared" si="4"/>
        <v>0</v>
      </c>
      <c r="R8" s="20">
        <f t="shared" si="5"/>
        <v>0</v>
      </c>
      <c r="S8" s="24">
        <f t="shared" si="6"/>
        <v>0</v>
      </c>
    </row>
    <row r="9" spans="2:19" x14ac:dyDescent="0.25">
      <c r="B9" s="92"/>
      <c r="C9" s="92"/>
      <c r="D9" s="101"/>
      <c r="E9" s="102"/>
      <c r="F9" s="103"/>
      <c r="G9" s="104">
        <v>1</v>
      </c>
      <c r="I9" s="15">
        <f t="shared" si="2"/>
        <v>0</v>
      </c>
      <c r="J9" s="20">
        <f t="shared" si="0"/>
        <v>0</v>
      </c>
      <c r="K9" s="24">
        <f t="shared" si="0"/>
        <v>0</v>
      </c>
      <c r="M9" s="15">
        <f t="shared" si="3"/>
        <v>0</v>
      </c>
      <c r="N9" s="20">
        <f t="shared" si="1"/>
        <v>0</v>
      </c>
      <c r="O9" s="24">
        <f t="shared" si="1"/>
        <v>0</v>
      </c>
      <c r="Q9" s="15">
        <f t="shared" si="4"/>
        <v>0</v>
      </c>
      <c r="R9" s="20">
        <f t="shared" si="5"/>
        <v>0</v>
      </c>
      <c r="S9" s="24">
        <f t="shared" si="6"/>
        <v>0</v>
      </c>
    </row>
    <row r="10" spans="2:19" x14ac:dyDescent="0.25">
      <c r="B10" s="92"/>
      <c r="C10" s="92"/>
      <c r="D10" s="101"/>
      <c r="E10" s="102"/>
      <c r="F10" s="103"/>
      <c r="G10" s="104">
        <v>1</v>
      </c>
      <c r="I10" s="15">
        <f t="shared" si="2"/>
        <v>0</v>
      </c>
      <c r="J10" s="20">
        <f t="shared" si="0"/>
        <v>0</v>
      </c>
      <c r="K10" s="24">
        <f t="shared" si="0"/>
        <v>0</v>
      </c>
      <c r="M10" s="15">
        <f t="shared" si="3"/>
        <v>0</v>
      </c>
      <c r="N10" s="20">
        <f t="shared" si="1"/>
        <v>0</v>
      </c>
      <c r="O10" s="24">
        <f t="shared" si="1"/>
        <v>0</v>
      </c>
      <c r="Q10" s="15">
        <f t="shared" si="4"/>
        <v>0</v>
      </c>
      <c r="R10" s="20">
        <f t="shared" si="5"/>
        <v>0</v>
      </c>
      <c r="S10" s="24">
        <f t="shared" si="6"/>
        <v>0</v>
      </c>
    </row>
    <row r="11" spans="2:19" x14ac:dyDescent="0.25">
      <c r="B11" s="92"/>
      <c r="C11" s="92"/>
      <c r="D11" s="101"/>
      <c r="E11" s="102"/>
      <c r="F11" s="103"/>
      <c r="G11" s="104">
        <v>1</v>
      </c>
      <c r="I11" s="15">
        <f t="shared" si="2"/>
        <v>0</v>
      </c>
      <c r="J11" s="20">
        <f t="shared" si="0"/>
        <v>0</v>
      </c>
      <c r="K11" s="24">
        <f t="shared" si="0"/>
        <v>0</v>
      </c>
      <c r="M11" s="15">
        <f t="shared" si="3"/>
        <v>0</v>
      </c>
      <c r="N11" s="20">
        <f t="shared" si="1"/>
        <v>0</v>
      </c>
      <c r="O11" s="24">
        <f t="shared" si="1"/>
        <v>0</v>
      </c>
      <c r="Q11" s="15">
        <f t="shared" si="4"/>
        <v>0</v>
      </c>
      <c r="R11" s="20">
        <f t="shared" si="5"/>
        <v>0</v>
      </c>
      <c r="S11" s="24">
        <f t="shared" si="6"/>
        <v>0</v>
      </c>
    </row>
    <row r="12" spans="2:19" x14ac:dyDescent="0.25">
      <c r="B12" s="92"/>
      <c r="C12" s="92"/>
      <c r="D12" s="101"/>
      <c r="E12" s="102"/>
      <c r="F12" s="103"/>
      <c r="G12" s="104">
        <v>1</v>
      </c>
      <c r="I12" s="15">
        <f t="shared" si="2"/>
        <v>0</v>
      </c>
      <c r="J12" s="20">
        <f t="shared" si="0"/>
        <v>0</v>
      </c>
      <c r="K12" s="24">
        <f t="shared" si="0"/>
        <v>0</v>
      </c>
      <c r="M12" s="15">
        <f t="shared" si="3"/>
        <v>0</v>
      </c>
      <c r="N12" s="20">
        <f t="shared" si="1"/>
        <v>0</v>
      </c>
      <c r="O12" s="24">
        <f t="shared" si="1"/>
        <v>0</v>
      </c>
      <c r="Q12" s="15">
        <f t="shared" si="4"/>
        <v>0</v>
      </c>
      <c r="R12" s="20">
        <f t="shared" si="5"/>
        <v>0</v>
      </c>
      <c r="S12" s="24">
        <f t="shared" si="6"/>
        <v>0</v>
      </c>
    </row>
    <row r="13" spans="2:19" x14ac:dyDescent="0.25">
      <c r="I13" s="16">
        <f>SUM(I5:I12)</f>
        <v>0</v>
      </c>
      <c r="J13" s="21">
        <f>SUM(J5:J12)</f>
        <v>0</v>
      </c>
      <c r="K13" s="25">
        <f>SUM(K5:K12)</f>
        <v>0</v>
      </c>
      <c r="M13" s="16">
        <f>SUM(M5:M12)</f>
        <v>0</v>
      </c>
      <c r="N13" s="21">
        <f>SUM(N5:N12)</f>
        <v>0</v>
      </c>
      <c r="O13" s="25">
        <f>SUM(O5:O12)</f>
        <v>0</v>
      </c>
      <c r="Q13" s="18">
        <f t="shared" si="4"/>
        <v>0</v>
      </c>
      <c r="R13" s="21">
        <f>SUM(R5:R12)</f>
        <v>0</v>
      </c>
      <c r="S13" s="25">
        <f>SUM(S5:S12)</f>
        <v>0</v>
      </c>
    </row>
    <row r="15" spans="2:19" x14ac:dyDescent="0.25">
      <c r="G15" t="s">
        <v>199</v>
      </c>
      <c r="I15" s="17" t="e">
        <f>I13/'Land, Stock &amp; Slurry'!$B$4</f>
        <v>#DIV/0!</v>
      </c>
      <c r="J15" s="22" t="e">
        <f>J13/'Land, Stock &amp; Slurry'!$B$4</f>
        <v>#DIV/0!</v>
      </c>
      <c r="K15" s="26" t="e">
        <f>K13/'Land, Stock &amp; Slurry'!$B$4</f>
        <v>#DIV/0!</v>
      </c>
      <c r="M15" s="17" t="e">
        <f>M13/('Land, Stock &amp; Slurry'!$D$5+'Land, Stock &amp; Slurry'!$E$5)</f>
        <v>#DIV/0!</v>
      </c>
      <c r="N15" s="22" t="e">
        <f>N13/('Land, Stock &amp; Slurry'!$D$5+'Land, Stock &amp; Slurry'!$E$5)</f>
        <v>#DIV/0!</v>
      </c>
      <c r="O15" s="26" t="e">
        <f>O13/('Land, Stock &amp; Slurry'!$D$5+'Land, Stock &amp; Slurry'!$E$5)</f>
        <v>#DIV/0!</v>
      </c>
      <c r="Q15" s="17" t="e">
        <f>Q13/'Land, Stock &amp; Slurry'!$F$5</f>
        <v>#DIV/0!</v>
      </c>
      <c r="R15" s="22" t="e">
        <f>R13/'Land, Stock &amp; Slurry'!$F$5</f>
        <v>#DIV/0!</v>
      </c>
      <c r="S15" s="26" t="e">
        <f>S13/'Land, Stock &amp; Slurry'!$F$5</f>
        <v>#DIV/0!</v>
      </c>
    </row>
  </sheetData>
  <sheetProtection algorithmName="SHA-512" hashValue="wqH0dh5GEWSs/HjmM5fAoIJauEpxbVXLHo2oN93IflDYlmuSP3Au1ZZkfJSsmhqQRPAfcJmNWcPuyrj1ZDRnfw==" saltValue="aHIJ/mgmHU7LmGpX+HjIsQ==" spinCount="100000" sheet="1" objects="1" scenarios="1" selectLockedCells="1"/>
  <mergeCells count="5">
    <mergeCell ref="I3:K3"/>
    <mergeCell ref="M3:O3"/>
    <mergeCell ref="Q3:S3"/>
    <mergeCell ref="B3:G3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C40F-2F63-4CD8-8C18-A3B294DB0EC0}">
  <dimension ref="A1:G66"/>
  <sheetViews>
    <sheetView zoomScale="110" zoomScaleNormal="110" workbookViewId="0">
      <selection activeCell="G28" sqref="G28"/>
    </sheetView>
  </sheetViews>
  <sheetFormatPr defaultRowHeight="15" x14ac:dyDescent="0.25"/>
  <cols>
    <col min="1" max="1" width="27.7109375" customWidth="1"/>
    <col min="2" max="2" width="10.7109375" customWidth="1"/>
    <col min="3" max="3" width="5.5703125" customWidth="1"/>
    <col min="4" max="4" width="32.7109375" customWidth="1"/>
    <col min="5" max="5" width="10.5703125" bestFit="1" customWidth="1"/>
  </cols>
  <sheetData>
    <row r="1" spans="1:5" ht="21" x14ac:dyDescent="0.35">
      <c r="A1" s="156" t="s">
        <v>200</v>
      </c>
      <c r="B1" s="156"/>
      <c r="C1" s="156"/>
      <c r="D1" s="156"/>
      <c r="E1" s="156"/>
    </row>
    <row r="2" spans="1:5" ht="15.75" x14ac:dyDescent="0.25">
      <c r="A2" s="176" t="s">
        <v>201</v>
      </c>
      <c r="B2" s="176"/>
      <c r="C2" s="176"/>
      <c r="D2" s="176"/>
      <c r="E2" s="176"/>
    </row>
    <row r="4" spans="1:5" x14ac:dyDescent="0.25">
      <c r="A4" s="52" t="s">
        <v>202</v>
      </c>
      <c r="B4" s="52" t="s">
        <v>203</v>
      </c>
    </row>
    <row r="5" spans="1:5" x14ac:dyDescent="0.25">
      <c r="A5" s="51" t="s">
        <v>204</v>
      </c>
      <c r="B5" s="51">
        <f>'Land, Stock &amp; Slurry'!B4</f>
        <v>0</v>
      </c>
      <c r="D5" s="58" t="s">
        <v>245</v>
      </c>
      <c r="E5" s="59" t="e">
        <f>(B6+B7)/B5</f>
        <v>#DIV/0!</v>
      </c>
    </row>
    <row r="6" spans="1:5" ht="15.75" thickBot="1" x14ac:dyDescent="0.3">
      <c r="A6" s="14" t="s">
        <v>205</v>
      </c>
      <c r="B6" s="14">
        <f>'Land, Stock &amp; Slurry'!D5</f>
        <v>0</v>
      </c>
    </row>
    <row r="7" spans="1:5" x14ac:dyDescent="0.25">
      <c r="A7" s="14" t="s">
        <v>206</v>
      </c>
      <c r="B7" s="14">
        <f>'Land, Stock &amp; Slurry'!E5</f>
        <v>0</v>
      </c>
      <c r="D7" s="81" t="s">
        <v>207</v>
      </c>
      <c r="E7" s="60" t="e">
        <f>IF(E5&gt;=0.8,"YES","NO")</f>
        <v>#DIV/0!</v>
      </c>
    </row>
    <row r="8" spans="1:5" ht="15.75" thickBot="1" x14ac:dyDescent="0.3">
      <c r="A8" s="14" t="s">
        <v>208</v>
      </c>
      <c r="B8" s="14">
        <f>'Land, Stock &amp; Slurry'!F5</f>
        <v>0</v>
      </c>
      <c r="D8" s="82" t="s">
        <v>209</v>
      </c>
      <c r="E8" s="61"/>
    </row>
    <row r="9" spans="1:5" x14ac:dyDescent="0.25">
      <c r="D9" s="13"/>
    </row>
    <row r="10" spans="1:5" x14ac:dyDescent="0.25">
      <c r="D10" s="179" t="s">
        <v>255</v>
      </c>
      <c r="E10" s="180"/>
    </row>
    <row r="11" spans="1:5" x14ac:dyDescent="0.25">
      <c r="A11" s="8" t="s">
        <v>222</v>
      </c>
      <c r="B11" s="116" t="e">
        <f>'Land, Stock &amp; Slurry'!$H$24</f>
        <v>#DIV/0!</v>
      </c>
      <c r="D11" s="180"/>
      <c r="E11" s="180"/>
    </row>
    <row r="12" spans="1:5" x14ac:dyDescent="0.25">
      <c r="A12" s="8" t="s">
        <v>241</v>
      </c>
      <c r="B12" s="117">
        <f>'Land, Stock &amp; Slurry'!$E$7</f>
        <v>0</v>
      </c>
      <c r="D12" s="13"/>
    </row>
    <row r="13" spans="1:5" x14ac:dyDescent="0.25">
      <c r="A13" s="8" t="s">
        <v>242</v>
      </c>
      <c r="B13" s="117" t="e">
        <f>(('Feed and other produce'!$B$5+'Feed and other produce'!$B$6)*1000)/'Land, Stock &amp; Slurry'!$B$12</f>
        <v>#DIV/0!</v>
      </c>
      <c r="D13" s="13"/>
    </row>
    <row r="14" spans="1:5" x14ac:dyDescent="0.25">
      <c r="A14" s="8" t="s">
        <v>243</v>
      </c>
      <c r="B14" s="117" t="e">
        <f>B12-(B13/0.45)</f>
        <v>#DIV/0!</v>
      </c>
      <c r="D14" s="13"/>
    </row>
    <row r="15" spans="1:5" x14ac:dyDescent="0.25">
      <c r="B15" s="111"/>
      <c r="D15" s="13"/>
    </row>
    <row r="16" spans="1:5" ht="30" x14ac:dyDescent="0.25">
      <c r="A16" s="121" t="s">
        <v>246</v>
      </c>
      <c r="B16" s="115" t="e">
        <f>(('Feed and other produce'!$B$7+'Feed and other produce'!$B$8)*1000)/('Land, Stock &amp; Slurry'!$H$23-'Land, Stock &amp; Slurry'!$H$12)</f>
        <v>#DIV/0!</v>
      </c>
      <c r="D16" s="13"/>
    </row>
    <row r="17" spans="1:7" x14ac:dyDescent="0.25">
      <c r="D17" s="13"/>
    </row>
    <row r="18" spans="1:7" ht="24" x14ac:dyDescent="0.4">
      <c r="A18" s="114" t="s">
        <v>240</v>
      </c>
      <c r="D18" s="13"/>
    </row>
    <row r="20" spans="1:7" x14ac:dyDescent="0.25">
      <c r="A20" s="53" t="s">
        <v>210</v>
      </c>
      <c r="B20" s="118" t="s">
        <v>211</v>
      </c>
      <c r="E20" s="3"/>
    </row>
    <row r="21" spans="1:7" x14ac:dyDescent="0.25">
      <c r="A21" s="19" t="s">
        <v>127</v>
      </c>
      <c r="B21" s="54">
        <f>'Land, Stock &amp; Slurry'!B80</f>
        <v>0</v>
      </c>
      <c r="D21" s="175" t="s">
        <v>258</v>
      </c>
      <c r="E21" s="175"/>
    </row>
    <row r="22" spans="1:7" ht="15" customHeight="1" x14ac:dyDescent="0.25">
      <c r="A22" s="19" t="s">
        <v>128</v>
      </c>
      <c r="B22" s="54">
        <f>'Land, Stock &amp; Slurry'!B81</f>
        <v>0</v>
      </c>
      <c r="D22" s="175"/>
      <c r="E22" s="175"/>
    </row>
    <row r="23" spans="1:7" x14ac:dyDescent="0.25">
      <c r="A23" s="19" t="s">
        <v>129</v>
      </c>
      <c r="B23" s="54">
        <f>'Land, Stock &amp; Slurry'!B82</f>
        <v>0</v>
      </c>
      <c r="D23" s="175"/>
      <c r="E23" s="175"/>
    </row>
    <row r="24" spans="1:7" x14ac:dyDescent="0.25">
      <c r="A24" s="19" t="s">
        <v>130</v>
      </c>
      <c r="B24" s="54">
        <f>'Land, Stock &amp; Slurry'!B83</f>
        <v>0</v>
      </c>
      <c r="D24" s="175"/>
      <c r="E24" s="175"/>
    </row>
    <row r="25" spans="1:7" x14ac:dyDescent="0.25">
      <c r="A25" s="19" t="s">
        <v>131</v>
      </c>
      <c r="B25" s="54">
        <f>'Land, Stock &amp; Slurry'!B84</f>
        <v>0</v>
      </c>
      <c r="D25" s="175"/>
      <c r="E25" s="175"/>
    </row>
    <row r="26" spans="1:7" x14ac:dyDescent="0.25">
      <c r="A26" s="55" t="s">
        <v>132</v>
      </c>
      <c r="B26" s="21">
        <f>SUM(B21:B25)</f>
        <v>0</v>
      </c>
    </row>
    <row r="28" spans="1:7" x14ac:dyDescent="0.25">
      <c r="A28" s="56" t="s">
        <v>133</v>
      </c>
      <c r="B28" s="57" t="e">
        <f>B26/B5</f>
        <v>#DIV/0!</v>
      </c>
      <c r="D28" s="56" t="s">
        <v>134</v>
      </c>
      <c r="E28" s="119" t="e">
        <f>IF(B28&lt;170,"No",IF(B28&lt;250,"YES","Over 250 limit"))</f>
        <v>#DIV/0!</v>
      </c>
    </row>
    <row r="29" spans="1:7" x14ac:dyDescent="0.25">
      <c r="D29" s="56" t="s">
        <v>213</v>
      </c>
      <c r="E29" s="57">
        <f>($B$26-($B$5*170))/170</f>
        <v>0</v>
      </c>
      <c r="G29" t="str">
        <f>IF(E29&lt;0,"minus figure indicates no extra land needed","")</f>
        <v/>
      </c>
    </row>
    <row r="30" spans="1:7" ht="29.25" customHeight="1" x14ac:dyDescent="0.25">
      <c r="D30" s="88" t="s">
        <v>276</v>
      </c>
      <c r="E30" s="57">
        <f>($B$26-($B$5*250))/250</f>
        <v>0</v>
      </c>
      <c r="G30" t="str">
        <f>IF(E30&lt;0,"minus figure indicates no extra land needed","")</f>
        <v/>
      </c>
    </row>
    <row r="31" spans="1:7" x14ac:dyDescent="0.25">
      <c r="D31" s="13"/>
      <c r="E31" s="113"/>
    </row>
    <row r="32" spans="1:7" ht="55.5" customHeight="1" x14ac:dyDescent="0.25">
      <c r="D32" s="175" t="s">
        <v>257</v>
      </c>
      <c r="E32" s="175"/>
    </row>
    <row r="33" spans="1:7" ht="30" x14ac:dyDescent="0.25">
      <c r="A33" s="64" t="s">
        <v>135</v>
      </c>
      <c r="B33" s="67">
        <f>B26-B25</f>
        <v>0</v>
      </c>
      <c r="D33" s="175"/>
      <c r="E33" s="175"/>
    </row>
    <row r="34" spans="1:7" x14ac:dyDescent="0.25">
      <c r="A34" s="63" t="s">
        <v>133</v>
      </c>
      <c r="B34" s="65" t="e">
        <f>B33/B5</f>
        <v>#DIV/0!</v>
      </c>
      <c r="D34" s="63" t="s">
        <v>136</v>
      </c>
      <c r="E34" s="120" t="e">
        <f>IF(B34&gt;150,"YES","NO")</f>
        <v>#DIV/0!</v>
      </c>
    </row>
    <row r="36" spans="1:7" ht="30" x14ac:dyDescent="0.25">
      <c r="D36" s="64" t="s">
        <v>212</v>
      </c>
      <c r="E36" s="65">
        <f>(B33-(B5*150))/150</f>
        <v>0</v>
      </c>
      <c r="G36" t="str">
        <f>IF(E36&lt;0,"minus figure indicates no extra land needed","")</f>
        <v/>
      </c>
    </row>
    <row r="38" spans="1:7" ht="24" x14ac:dyDescent="0.4">
      <c r="A38" s="114" t="s">
        <v>244</v>
      </c>
    </row>
    <row r="40" spans="1:7" x14ac:dyDescent="0.25">
      <c r="D40" s="177" t="s">
        <v>215</v>
      </c>
      <c r="E40" s="178"/>
    </row>
    <row r="41" spans="1:7" x14ac:dyDescent="0.25">
      <c r="A41" s="70" t="s">
        <v>214</v>
      </c>
      <c r="B41" s="70">
        <v>180</v>
      </c>
      <c r="D41" s="69" t="s">
        <v>217</v>
      </c>
      <c r="E41" s="71">
        <f>B41*B6</f>
        <v>0</v>
      </c>
    </row>
    <row r="42" spans="1:7" x14ac:dyDescent="0.25">
      <c r="A42" s="70" t="s">
        <v>216</v>
      </c>
      <c r="B42" s="70" t="e">
        <f>IF(B28&gt;170,210,242)</f>
        <v>#DIV/0!</v>
      </c>
      <c r="D42" s="69" t="s">
        <v>164</v>
      </c>
      <c r="E42" s="71" t="e">
        <f>B42*B7</f>
        <v>#DIV/0!</v>
      </c>
    </row>
    <row r="43" spans="1:7" x14ac:dyDescent="0.25">
      <c r="D43" s="70" t="s">
        <v>218</v>
      </c>
      <c r="E43" s="72" t="e">
        <f>SUM(E41:E42)</f>
        <v>#DIV/0!</v>
      </c>
    </row>
    <row r="44" spans="1:7" x14ac:dyDescent="0.25">
      <c r="E44" s="1"/>
    </row>
    <row r="45" spans="1:7" x14ac:dyDescent="0.25">
      <c r="D45" s="73" t="s">
        <v>219</v>
      </c>
      <c r="E45" s="74">
        <f>Fertiliser!M13</f>
        <v>0</v>
      </c>
    </row>
    <row r="46" spans="1:7" x14ac:dyDescent="0.25">
      <c r="D46" s="73" t="s">
        <v>220</v>
      </c>
      <c r="E46" s="75" t="e">
        <f>(E45-E43)/E45</f>
        <v>#DIV/0!</v>
      </c>
      <c r="G46" t="e">
        <f>IF(E46&lt;0,"minus figure indicates no reduction in fertiliser N needed","")</f>
        <v>#DIV/0!</v>
      </c>
    </row>
    <row r="48" spans="1:7" ht="24" x14ac:dyDescent="0.4">
      <c r="A48" s="114" t="s">
        <v>221</v>
      </c>
      <c r="E48" s="3"/>
    </row>
    <row r="49" spans="1:7" x14ac:dyDescent="0.25">
      <c r="E49" s="3"/>
    </row>
    <row r="50" spans="1:7" x14ac:dyDescent="0.25">
      <c r="A50" s="76" t="s">
        <v>223</v>
      </c>
      <c r="B50" s="76" t="s">
        <v>224</v>
      </c>
      <c r="D50" s="174" t="s">
        <v>256</v>
      </c>
      <c r="E50" s="174"/>
    </row>
    <row r="51" spans="1:7" x14ac:dyDescent="0.25">
      <c r="A51" s="68" t="s">
        <v>225</v>
      </c>
      <c r="B51" s="68">
        <f>'Livestock In and Out'!F20</f>
        <v>0</v>
      </c>
      <c r="D51" s="174"/>
      <c r="E51" s="174"/>
    </row>
    <row r="52" spans="1:7" x14ac:dyDescent="0.25">
      <c r="A52" s="68" t="s">
        <v>226</v>
      </c>
      <c r="B52" s="68">
        <f>'Feed and other produce'!D40</f>
        <v>0</v>
      </c>
      <c r="D52" s="174"/>
      <c r="E52" s="174"/>
    </row>
    <row r="53" spans="1:7" x14ac:dyDescent="0.25">
      <c r="A53" s="68" t="s">
        <v>227</v>
      </c>
      <c r="B53" s="68">
        <f>'Land, Stock &amp; Slurry'!I77</f>
        <v>0</v>
      </c>
      <c r="D53" s="174"/>
      <c r="E53" s="174"/>
    </row>
    <row r="54" spans="1:7" x14ac:dyDescent="0.25">
      <c r="A54" s="68" t="s">
        <v>5</v>
      </c>
      <c r="B54" s="68">
        <f>Fertiliser!J13*0.436</f>
        <v>0</v>
      </c>
      <c r="D54" s="174"/>
      <c r="E54" s="174"/>
    </row>
    <row r="55" spans="1:7" x14ac:dyDescent="0.25">
      <c r="A55" s="63" t="s">
        <v>228</v>
      </c>
      <c r="B55" s="63">
        <f>SUM(B51:B54)</f>
        <v>0</v>
      </c>
      <c r="D55" s="174"/>
      <c r="E55" s="174"/>
    </row>
    <row r="56" spans="1:7" x14ac:dyDescent="0.25">
      <c r="D56" s="174"/>
      <c r="E56" s="174"/>
    </row>
    <row r="57" spans="1:7" x14ac:dyDescent="0.25">
      <c r="A57" s="76" t="s">
        <v>229</v>
      </c>
      <c r="B57" s="76" t="s">
        <v>224</v>
      </c>
      <c r="D57" s="174"/>
      <c r="E57" s="174"/>
    </row>
    <row r="58" spans="1:7" x14ac:dyDescent="0.25">
      <c r="A58" s="68" t="s">
        <v>231</v>
      </c>
      <c r="B58" s="68">
        <f>'Livestock In and Out'!F41</f>
        <v>0</v>
      </c>
      <c r="D58" s="174"/>
      <c r="E58" s="174"/>
    </row>
    <row r="59" spans="1:7" x14ac:dyDescent="0.25">
      <c r="A59" s="68" t="s">
        <v>233</v>
      </c>
      <c r="B59" s="68">
        <f>'Feed and other produce'!J26</f>
        <v>0</v>
      </c>
      <c r="E59" s="112"/>
    </row>
    <row r="60" spans="1:7" x14ac:dyDescent="0.25">
      <c r="A60" s="68" t="s">
        <v>234</v>
      </c>
      <c r="B60" s="68">
        <f>'Land, Stock &amp; Slurry'!J77</f>
        <v>0</v>
      </c>
    </row>
    <row r="61" spans="1:7" x14ac:dyDescent="0.25">
      <c r="A61" s="63" t="s">
        <v>236</v>
      </c>
      <c r="B61" s="63">
        <f>SUM(B58:B60)</f>
        <v>0</v>
      </c>
    </row>
    <row r="62" spans="1:7" x14ac:dyDescent="0.25">
      <c r="D62" s="77" t="s">
        <v>230</v>
      </c>
      <c r="E62" s="77">
        <f>(B63-(B5*10))/10</f>
        <v>0</v>
      </c>
      <c r="G62" t="str">
        <f>IF(E62&lt;0,"minus figure indicates no extra land needed","")</f>
        <v/>
      </c>
    </row>
    <row r="63" spans="1:7" x14ac:dyDescent="0.25">
      <c r="A63" s="77" t="s">
        <v>237</v>
      </c>
      <c r="B63" s="77">
        <f>B55-B61</f>
        <v>0</v>
      </c>
      <c r="D63" s="77" t="s">
        <v>232</v>
      </c>
      <c r="E63" s="79" t="e">
        <f>(B63-(B5*10))/B63</f>
        <v>#DIV/0!</v>
      </c>
      <c r="G63" t="e">
        <f>IF(E63&lt;0,"minus figure indicates no stock reduction needed","")</f>
        <v>#DIV/0!</v>
      </c>
    </row>
    <row r="64" spans="1:7" x14ac:dyDescent="0.25">
      <c r="D64" s="13"/>
      <c r="E64" s="13"/>
    </row>
    <row r="65" spans="1:7" x14ac:dyDescent="0.25">
      <c r="A65" s="77" t="s">
        <v>238</v>
      </c>
      <c r="B65" s="78" t="e">
        <f>B63/B5</f>
        <v>#DIV/0!</v>
      </c>
      <c r="D65" s="77" t="s">
        <v>235</v>
      </c>
      <c r="E65" s="80">
        <f>(B63-(B5*8))/8</f>
        <v>0</v>
      </c>
      <c r="G65" t="str">
        <f>IF(E65&lt;0,"minus figure indicates no extra land needed","")</f>
        <v/>
      </c>
    </row>
    <row r="66" spans="1:7" x14ac:dyDescent="0.25">
      <c r="D66" s="77" t="s">
        <v>232</v>
      </c>
      <c r="E66" s="79" t="e">
        <f>(B63-(B5*8))/B63</f>
        <v>#DIV/0!</v>
      </c>
      <c r="G66" t="e">
        <f>IF(E66&lt;0,"minus figure indicates no stock reduction needed","")</f>
        <v>#DIV/0!</v>
      </c>
    </row>
  </sheetData>
  <sheetProtection algorithmName="SHA-512" hashValue="qcyu5abdDgnMaouKeT3GmDxcAAJb1mfaRgP2vBR6Mj+dYpU4k/Cd3+SDlbU77Y0RrsdDU6dxEww7SqiPZEL6Ng==" saltValue="znIR7AiIPfYZT9RHPSZoTA==" spinCount="100000" sheet="1" objects="1" scenarios="1" selectLockedCells="1"/>
  <mergeCells count="7">
    <mergeCell ref="D50:E58"/>
    <mergeCell ref="D21:E25"/>
    <mergeCell ref="A1:E1"/>
    <mergeCell ref="A2:E2"/>
    <mergeCell ref="D40:E40"/>
    <mergeCell ref="D10:E11"/>
    <mergeCell ref="D32:E3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32A8-D517-4C60-B8B1-2D82C0862491}">
  <dimension ref="A1:CB23"/>
  <sheetViews>
    <sheetView workbookViewId="0">
      <selection activeCell="BR12" sqref="BR12"/>
    </sheetView>
  </sheetViews>
  <sheetFormatPr defaultRowHeight="15" x14ac:dyDescent="0.25"/>
  <cols>
    <col min="70" max="70" width="18.7109375" customWidth="1"/>
  </cols>
  <sheetData>
    <row r="1" spans="1:80" s="129" customFormat="1" ht="216.75" x14ac:dyDescent="0.25">
      <c r="A1" s="129" t="str">
        <f>'Land, Stock &amp; Slurry'!D7</f>
        <v>Milk Yield per Cow</v>
      </c>
      <c r="B1" s="129" t="s">
        <v>39</v>
      </c>
      <c r="C1" s="129" t="s">
        <v>43</v>
      </c>
      <c r="D1" s="129" t="s">
        <v>46</v>
      </c>
      <c r="E1" s="129" t="s">
        <v>49</v>
      </c>
      <c r="F1" s="129" t="s">
        <v>53</v>
      </c>
      <c r="G1" s="129" t="s">
        <v>55</v>
      </c>
      <c r="H1" s="129" t="s">
        <v>63</v>
      </c>
      <c r="I1" s="129" t="s">
        <v>66</v>
      </c>
      <c r="J1" s="129" t="s">
        <v>69</v>
      </c>
      <c r="K1" s="129" t="s">
        <v>239</v>
      </c>
      <c r="L1" s="129" t="s">
        <v>41</v>
      </c>
      <c r="M1" s="129" t="s">
        <v>44</v>
      </c>
      <c r="N1" s="129" t="s">
        <v>47</v>
      </c>
      <c r="O1" s="130" t="s">
        <v>263</v>
      </c>
      <c r="P1" s="130" t="s">
        <v>264</v>
      </c>
      <c r="Q1" s="130" t="s">
        <v>265</v>
      </c>
      <c r="R1" s="130" t="s">
        <v>266</v>
      </c>
      <c r="S1" s="130" t="s">
        <v>267</v>
      </c>
      <c r="T1" s="130" t="s">
        <v>268</v>
      </c>
      <c r="U1" s="131" t="s">
        <v>42</v>
      </c>
      <c r="V1" s="131" t="s">
        <v>45</v>
      </c>
      <c r="W1" s="131" t="s">
        <v>48</v>
      </c>
      <c r="X1" s="131" t="s">
        <v>269</v>
      </c>
      <c r="Y1" s="131" t="s">
        <v>270</v>
      </c>
      <c r="Z1" s="131" t="s">
        <v>271</v>
      </c>
      <c r="AA1" s="131" t="s">
        <v>62</v>
      </c>
      <c r="AB1" s="131" t="s">
        <v>65</v>
      </c>
      <c r="AC1" s="131" t="s">
        <v>68</v>
      </c>
      <c r="AD1" s="131" t="s">
        <v>70</v>
      </c>
      <c r="AE1" s="131" t="s">
        <v>71</v>
      </c>
      <c r="AF1" s="131" t="s">
        <v>72</v>
      </c>
      <c r="AG1" s="131" t="s">
        <v>73</v>
      </c>
      <c r="AH1" s="132" t="s">
        <v>204</v>
      </c>
      <c r="AI1" s="133" t="s">
        <v>205</v>
      </c>
      <c r="AJ1" s="133" t="s">
        <v>206</v>
      </c>
      <c r="AK1" s="133" t="s">
        <v>208</v>
      </c>
      <c r="AL1" s="134" t="s">
        <v>245</v>
      </c>
      <c r="AM1" s="135" t="s">
        <v>272</v>
      </c>
      <c r="AN1" s="136" t="s">
        <v>222</v>
      </c>
      <c r="AO1" s="136" t="s">
        <v>241</v>
      </c>
      <c r="AP1" s="136" t="s">
        <v>242</v>
      </c>
      <c r="AQ1" s="136" t="s">
        <v>243</v>
      </c>
      <c r="AR1" s="137" t="s">
        <v>246</v>
      </c>
      <c r="AS1" s="138" t="s">
        <v>127</v>
      </c>
      <c r="AT1" s="138" t="s">
        <v>128</v>
      </c>
      <c r="AU1" s="138" t="s">
        <v>129</v>
      </c>
      <c r="AV1" s="138" t="s">
        <v>130</v>
      </c>
      <c r="AW1" s="138" t="s">
        <v>131</v>
      </c>
      <c r="AX1" s="139" t="s">
        <v>132</v>
      </c>
      <c r="AY1" s="140" t="s">
        <v>133</v>
      </c>
      <c r="AZ1" s="140" t="s">
        <v>134</v>
      </c>
      <c r="BA1" s="140" t="s">
        <v>213</v>
      </c>
      <c r="BB1" s="141" t="s">
        <v>135</v>
      </c>
      <c r="BC1" s="142" t="s">
        <v>133</v>
      </c>
      <c r="BD1" s="142" t="s">
        <v>136</v>
      </c>
      <c r="BE1" s="141" t="s">
        <v>212</v>
      </c>
      <c r="BF1" s="143" t="s">
        <v>214</v>
      </c>
      <c r="BG1" s="143" t="s">
        <v>216</v>
      </c>
      <c r="BH1" s="130" t="s">
        <v>273</v>
      </c>
      <c r="BI1" s="130" t="s">
        <v>274</v>
      </c>
      <c r="BJ1" s="130" t="s">
        <v>275</v>
      </c>
      <c r="BK1" s="144" t="s">
        <v>219</v>
      </c>
      <c r="BL1" s="144" t="s">
        <v>220</v>
      </c>
      <c r="BM1" s="145" t="s">
        <v>225</v>
      </c>
      <c r="BN1" s="145" t="s">
        <v>226</v>
      </c>
      <c r="BO1" s="145" t="s">
        <v>227</v>
      </c>
      <c r="BP1" s="145" t="s">
        <v>5</v>
      </c>
      <c r="BQ1" s="145" t="s">
        <v>228</v>
      </c>
      <c r="BR1" s="145" t="s">
        <v>231</v>
      </c>
      <c r="BS1" s="145" t="s">
        <v>233</v>
      </c>
      <c r="BT1" s="145" t="s">
        <v>234</v>
      </c>
      <c r="BU1" s="145" t="s">
        <v>236</v>
      </c>
      <c r="BV1" s="146" t="s">
        <v>237</v>
      </c>
      <c r="BW1" s="146" t="s">
        <v>238</v>
      </c>
      <c r="BX1" s="146" t="s">
        <v>230</v>
      </c>
      <c r="BY1" s="146" t="s">
        <v>232</v>
      </c>
      <c r="BZ1" s="146" t="s">
        <v>235</v>
      </c>
      <c r="CA1" s="146" t="s">
        <v>232</v>
      </c>
      <c r="CB1" s="130"/>
    </row>
    <row r="2" spans="1:80" x14ac:dyDescent="0.25">
      <c r="A2">
        <f>'Land, Stock &amp; Slurry'!E7</f>
        <v>0</v>
      </c>
      <c r="B2">
        <f>'Land, Stock &amp; Slurry'!B12</f>
        <v>0</v>
      </c>
      <c r="C2">
        <f>'Land, Stock &amp; Slurry'!B13</f>
        <v>0</v>
      </c>
      <c r="D2">
        <f>'Land, Stock &amp; Slurry'!B14</f>
        <v>0</v>
      </c>
      <c r="E2">
        <f>'Land, Stock &amp; Slurry'!B15</f>
        <v>0</v>
      </c>
      <c r="F2">
        <f>'Land, Stock &amp; Slurry'!B16</f>
        <v>0</v>
      </c>
      <c r="G2">
        <f>'Land, Stock &amp; Slurry'!B17</f>
        <v>0</v>
      </c>
      <c r="H2">
        <f>'Land, Stock &amp; Slurry'!B18</f>
        <v>0</v>
      </c>
      <c r="I2">
        <f>'Land, Stock &amp; Slurry'!B19</f>
        <v>0</v>
      </c>
      <c r="J2">
        <f>'Land, Stock &amp; Slurry'!B20</f>
        <v>0</v>
      </c>
      <c r="K2">
        <f>'Land, Stock &amp; Slurry'!B21</f>
        <v>0</v>
      </c>
      <c r="L2">
        <f>'Land, Stock &amp; Slurry'!M12</f>
        <v>0</v>
      </c>
      <c r="M2">
        <f>'Land, Stock &amp; Slurry'!M13</f>
        <v>0</v>
      </c>
      <c r="N2">
        <f>'Land, Stock &amp; Slurry'!M14</f>
        <v>0</v>
      </c>
      <c r="O2">
        <f>'Land, Stock &amp; Slurry'!M17</f>
        <v>0</v>
      </c>
      <c r="P2">
        <f>'Land, Stock &amp; Slurry'!M18</f>
        <v>0</v>
      </c>
      <c r="Q2">
        <f>'Land, Stock &amp; Slurry'!M19</f>
        <v>0</v>
      </c>
      <c r="R2">
        <f>'Land, Stock &amp; Slurry'!M20</f>
        <v>0</v>
      </c>
      <c r="S2">
        <f>'Land, Stock &amp; Slurry'!M21</f>
        <v>0</v>
      </c>
      <c r="T2">
        <f>'Land, Stock &amp; Slurry'!M22</f>
        <v>0</v>
      </c>
      <c r="U2">
        <f>'Land, Stock &amp; Slurry'!R12</f>
        <v>0</v>
      </c>
      <c r="V2">
        <f>'Land, Stock &amp; Slurry'!R13</f>
        <v>0</v>
      </c>
      <c r="W2">
        <f>'Land, Stock &amp; Slurry'!R14</f>
        <v>0</v>
      </c>
      <c r="X2">
        <f>'Land, Stock &amp; Slurry'!R15</f>
        <v>0</v>
      </c>
      <c r="Y2">
        <f>'Land, Stock &amp; Slurry'!R16</f>
        <v>0</v>
      </c>
      <c r="Z2">
        <f>'Land, Stock &amp; Slurry'!R17</f>
        <v>0</v>
      </c>
      <c r="AA2">
        <f>'Land, Stock &amp; Slurry'!R18</f>
        <v>0</v>
      </c>
      <c r="AB2">
        <f>'Land, Stock &amp; Slurry'!R19</f>
        <v>0</v>
      </c>
      <c r="AC2">
        <f>'Land, Stock &amp; Slurry'!R20</f>
        <v>0</v>
      </c>
      <c r="AD2">
        <f>'Land, Stock &amp; Slurry'!R21</f>
        <v>0</v>
      </c>
      <c r="AE2">
        <f>'Land, Stock &amp; Slurry'!R22</f>
        <v>0</v>
      </c>
      <c r="AF2">
        <f>'Land, Stock &amp; Slurry'!R23</f>
        <v>0</v>
      </c>
      <c r="AG2">
        <f>'Land, Stock &amp; Slurry'!R24</f>
        <v>0</v>
      </c>
      <c r="AH2">
        <f>'Summary Sheet'!B5</f>
        <v>0</v>
      </c>
      <c r="AI2">
        <f>'Summary Sheet'!B6</f>
        <v>0</v>
      </c>
      <c r="AJ2">
        <f>'Summary Sheet'!B7</f>
        <v>0</v>
      </c>
      <c r="AK2">
        <f>'Summary Sheet'!B8</f>
        <v>0</v>
      </c>
      <c r="AL2" s="147" t="e">
        <f>'Summary Sheet'!E5</f>
        <v>#DIV/0!</v>
      </c>
      <c r="AM2" t="e">
        <f>'Summary Sheet'!E7</f>
        <v>#DIV/0!</v>
      </c>
      <c r="AN2" s="3" t="e">
        <f>'Summary Sheet'!B11</f>
        <v>#DIV/0!</v>
      </c>
      <c r="AO2">
        <f>'Summary Sheet'!B12</f>
        <v>0</v>
      </c>
      <c r="AP2" t="e">
        <f>'Summary Sheet'!B13</f>
        <v>#DIV/0!</v>
      </c>
      <c r="AQ2" t="e">
        <f>'Summary Sheet'!B14</f>
        <v>#DIV/0!</v>
      </c>
      <c r="AR2" s="112" t="e">
        <f>'Summary Sheet'!B16</f>
        <v>#DIV/0!</v>
      </c>
      <c r="AS2">
        <f>'Summary Sheet'!B21</f>
        <v>0</v>
      </c>
      <c r="AT2">
        <f>'Summary Sheet'!B22</f>
        <v>0</v>
      </c>
      <c r="AU2">
        <f>'Summary Sheet'!B23</f>
        <v>0</v>
      </c>
      <c r="AV2">
        <f>'Summary Sheet'!B24</f>
        <v>0</v>
      </c>
      <c r="AW2">
        <f>'Summary Sheet'!B25</f>
        <v>0</v>
      </c>
      <c r="AX2">
        <f>'Summary Sheet'!B26</f>
        <v>0</v>
      </c>
      <c r="AY2" s="3" t="e">
        <f>'Summary Sheet'!B28</f>
        <v>#DIV/0!</v>
      </c>
      <c r="AZ2" t="e">
        <f>'Summary Sheet'!E28</f>
        <v>#DIV/0!</v>
      </c>
      <c r="BA2" s="3">
        <f>'Summary Sheet'!E29</f>
        <v>0</v>
      </c>
      <c r="BB2">
        <f>'Summary Sheet'!B33</f>
        <v>0</v>
      </c>
      <c r="BC2" s="3" t="e">
        <f>'Summary Sheet'!B34</f>
        <v>#DIV/0!</v>
      </c>
      <c r="BD2" t="e">
        <f>'Summary Sheet'!E34</f>
        <v>#DIV/0!</v>
      </c>
      <c r="BE2" s="3">
        <f>'Summary Sheet'!E36</f>
        <v>0</v>
      </c>
      <c r="BF2">
        <f>'Summary Sheet'!B41</f>
        <v>180</v>
      </c>
      <c r="BG2" t="e">
        <f>'Summary Sheet'!B42</f>
        <v>#DIV/0!</v>
      </c>
      <c r="BH2">
        <f>'Summary Sheet'!E41</f>
        <v>0</v>
      </c>
      <c r="BI2" t="e">
        <f>'Summary Sheet'!E42</f>
        <v>#DIV/0!</v>
      </c>
      <c r="BJ2" t="e">
        <f>'Summary Sheet'!E43</f>
        <v>#DIV/0!</v>
      </c>
      <c r="BK2">
        <f>'Summary Sheet'!E45</f>
        <v>0</v>
      </c>
      <c r="BL2" s="148" t="e">
        <f>'Summary Sheet'!E46</f>
        <v>#DIV/0!</v>
      </c>
      <c r="BM2">
        <f>'Summary Sheet'!B51</f>
        <v>0</v>
      </c>
      <c r="BN2">
        <f>'Summary Sheet'!B52</f>
        <v>0</v>
      </c>
      <c r="BO2">
        <f>'Summary Sheet'!B53</f>
        <v>0</v>
      </c>
      <c r="BP2">
        <f>'Summary Sheet'!B54</f>
        <v>0</v>
      </c>
      <c r="BQ2">
        <f>'Summary Sheet'!B55</f>
        <v>0</v>
      </c>
      <c r="BR2">
        <f>'Summary Sheet'!B58</f>
        <v>0</v>
      </c>
      <c r="BS2">
        <f>'Summary Sheet'!B59</f>
        <v>0</v>
      </c>
      <c r="BT2">
        <f>'Summary Sheet'!B60</f>
        <v>0</v>
      </c>
      <c r="BU2">
        <f>'Summary Sheet'!B61</f>
        <v>0</v>
      </c>
      <c r="BV2">
        <f>'Summary Sheet'!B63</f>
        <v>0</v>
      </c>
      <c r="BW2" t="e">
        <f>'Summary Sheet'!B65</f>
        <v>#DIV/0!</v>
      </c>
      <c r="BX2">
        <f>'Summary Sheet'!E62</f>
        <v>0</v>
      </c>
      <c r="BY2" t="e">
        <f>'Summary Sheet'!E63</f>
        <v>#DIV/0!</v>
      </c>
      <c r="BZ2" s="149">
        <f>'Summary Sheet'!E65</f>
        <v>0</v>
      </c>
      <c r="CA2" t="e">
        <f>'Summary Sheet'!E66</f>
        <v>#DIV/0!</v>
      </c>
    </row>
    <row r="15" spans="1:80" ht="15" customHeight="1" x14ac:dyDescent="0.25">
      <c r="O15" s="150"/>
      <c r="P15" s="151"/>
      <c r="Q15" s="152"/>
    </row>
    <row r="16" spans="1:80" x14ac:dyDescent="0.25">
      <c r="D16" s="181"/>
      <c r="O16" s="150"/>
      <c r="P16" s="151"/>
      <c r="Q16" s="152"/>
    </row>
    <row r="17" spans="4:17" x14ac:dyDescent="0.25">
      <c r="D17" s="181"/>
      <c r="O17" s="150"/>
      <c r="P17" s="151"/>
      <c r="Q17" s="152"/>
    </row>
    <row r="18" spans="4:17" ht="15" customHeight="1" x14ac:dyDescent="0.25">
      <c r="D18" s="151"/>
      <c r="O18" s="150"/>
      <c r="P18" s="152"/>
      <c r="Q18" s="152"/>
    </row>
    <row r="19" spans="4:17" x14ac:dyDescent="0.25">
      <c r="D19" s="151"/>
      <c r="O19" s="150"/>
      <c r="P19" s="152"/>
      <c r="Q19" s="152"/>
    </row>
    <row r="20" spans="4:17" x14ac:dyDescent="0.25">
      <c r="D20" s="151"/>
      <c r="O20" s="150"/>
      <c r="P20" s="152"/>
      <c r="Q20" s="152"/>
    </row>
    <row r="21" spans="4:17" x14ac:dyDescent="0.25">
      <c r="D21" s="152"/>
    </row>
    <row r="22" spans="4:17" x14ac:dyDescent="0.25">
      <c r="D22" s="152"/>
    </row>
    <row r="23" spans="4:17" x14ac:dyDescent="0.25">
      <c r="D23" s="152"/>
    </row>
  </sheetData>
  <sheetProtection algorithmName="SHA-512" hashValue="StKYTuDQ9bKnhHJw+8Gp6qfznXULgz4VGYI34+lNWGU8S8YOnA8EadwvfPNloHryKbWt3Qe2+ZpD4lEze2wNSQ==" saltValue="3BbCgH5i08ArLD0BXZzM1Q==" spinCount="100000" sheet="1" objects="1" scenarios="1"/>
  <mergeCells count="1">
    <mergeCell ref="D16:D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47539D07228F44BC9DCBD2A3156F83" ma:contentTypeVersion="21" ma:contentTypeDescription="Create a new document." ma:contentTypeScope="" ma:versionID="2b3f78757365356d53909d8811e6eb34">
  <xsd:schema xmlns:xsd="http://www.w3.org/2001/XMLSchema" xmlns:xs="http://www.w3.org/2001/XMLSchema" xmlns:p="http://schemas.microsoft.com/office/2006/metadata/properties" xmlns:ns2="7e75f9bc-db75-4425-b934-86bdf913f9c5" xmlns:ns3="ef6bdb79-9442-43c0-b36b-d244f3baed4c" targetNamespace="http://schemas.microsoft.com/office/2006/metadata/properties" ma:root="true" ma:fieldsID="a343b832ed71fb1dcc7f347c2cf58918" ns2:_="" ns3:_="">
    <xsd:import namespace="7e75f9bc-db75-4425-b934-86bdf913f9c5"/>
    <xsd:import namespace="ef6bdb79-9442-43c0-b36b-d244f3baed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5f9bc-db75-4425-b934-86bdf913f9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487e25b2-e005-406f-89f2-91b700a77a5b}" ma:internalName="TaxCatchAll" ma:showField="CatchAllData" ma:web="7e75f9bc-db75-4425-b934-86bdf913f9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bdb79-9442-43c0-b36b-d244f3baed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ace3a9b-015f-4a5e-b410-92ca362344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6bdb79-9442-43c0-b36b-d244f3baed4c">
      <Terms xmlns="http://schemas.microsoft.com/office/infopath/2007/PartnerControls"/>
    </lcf76f155ced4ddcb4097134ff3c332f>
    <TaxCatchAll xmlns="7e75f9bc-db75-4425-b934-86bdf913f9c5"/>
  </documentManagement>
</p:properties>
</file>

<file path=customXml/itemProps1.xml><?xml version="1.0" encoding="utf-8"?>
<ds:datastoreItem xmlns:ds="http://schemas.openxmlformats.org/officeDocument/2006/customXml" ds:itemID="{C13E60EE-529D-4AD5-B016-F833E0893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5f9bc-db75-4425-b934-86bdf913f9c5"/>
    <ds:schemaRef ds:uri="ef6bdb79-9442-43c0-b36b-d244f3bae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34EC6-09DB-4E72-935F-3E8525E05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12DCE9-11EA-400B-83E7-1ACE2C797274}">
  <ds:schemaRefs>
    <ds:schemaRef ds:uri="7e75f9bc-db75-4425-b934-86bdf913f9c5"/>
    <ds:schemaRef ds:uri="http://schemas.openxmlformats.org/package/2006/metadata/core-properties"/>
    <ds:schemaRef ds:uri="ef6bdb79-9442-43c0-b36b-d244f3baed4c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Land, Stock &amp; Slurry</vt:lpstr>
      <vt:lpstr>Livestock In and Out</vt:lpstr>
      <vt:lpstr>Feed and other produce</vt:lpstr>
      <vt:lpstr>Fertiliser</vt:lpstr>
      <vt:lpstr>Summary Sheet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Rankin</dc:creator>
  <cp:keywords/>
  <dc:description/>
  <cp:lastModifiedBy>Jason Rankin</cp:lastModifiedBy>
  <cp:revision/>
  <cp:lastPrinted>2025-05-30T15:51:32Z</cp:lastPrinted>
  <dcterms:created xsi:type="dcterms:W3CDTF">2025-05-23T14:05:59Z</dcterms:created>
  <dcterms:modified xsi:type="dcterms:W3CDTF">2025-06-02T17:36:09Z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0x0101006C47539D07228F44BC9DCBD2A3156F83</vt:lpwstr>
  </property>
  <property fmtid="{D5CDD505-2E9C-101B-9397-08002B2CF9AE}" pid="3" name="MediaServiceImageTags">
    <vt:lpwstr/>
  </property>
</Properties>
</file>